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  <Override PartName="/xl/externalLinks/externalLink249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50.xml" ContentType="application/vnd.openxmlformats-officedocument.spreadsheetml.externalLink+xml"/>
  <Override PartName="/xl/externalLinks/externalLink251.xml" ContentType="application/vnd.openxmlformats-officedocument.spreadsheetml.externalLink+xml"/>
  <Override PartName="/xl/externalLinks/externalLink252.xml" ContentType="application/vnd.openxmlformats-officedocument.spreadsheetml.externalLink+xml"/>
  <Override PartName="/xl/externalLinks/externalLink253.xml" ContentType="application/vnd.openxmlformats-officedocument.spreadsheetml.externalLink+xml"/>
  <Override PartName="/xl/externalLinks/externalLink254.xml" ContentType="application/vnd.openxmlformats-officedocument.spreadsheetml.externalLink+xml"/>
  <Override PartName="/xl/externalLinks/externalLink255.xml" ContentType="application/vnd.openxmlformats-officedocument.spreadsheetml.externalLink+xml"/>
  <Override PartName="/xl/externalLinks/externalLink256.xml" ContentType="application/vnd.openxmlformats-officedocument.spreadsheetml.externalLink+xml"/>
  <Override PartName="/xl/externalLinks/externalLink257.xml" ContentType="application/vnd.openxmlformats-officedocument.spreadsheetml.externalLink+xml"/>
  <Override PartName="/xl/externalLinks/externalLink258.xml" ContentType="application/vnd.openxmlformats-officedocument.spreadsheetml.externalLink+xml"/>
  <Override PartName="/xl/externalLinks/externalLink259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60.xml" ContentType="application/vnd.openxmlformats-officedocument.spreadsheetml.externalLink+xml"/>
  <Override PartName="/xl/externalLinks/externalLink261.xml" ContentType="application/vnd.openxmlformats-officedocument.spreadsheetml.externalLink+xml"/>
  <Override PartName="/xl/externalLinks/externalLink262.xml" ContentType="application/vnd.openxmlformats-officedocument.spreadsheetml.externalLink+xml"/>
  <Override PartName="/xl/externalLinks/externalLink263.xml" ContentType="application/vnd.openxmlformats-officedocument.spreadsheetml.externalLink+xml"/>
  <Override PartName="/xl/externalLinks/externalLink264.xml" ContentType="application/vnd.openxmlformats-officedocument.spreadsheetml.externalLink+xml"/>
  <Override PartName="/xl/externalLinks/externalLink265.xml" ContentType="application/vnd.openxmlformats-officedocument.spreadsheetml.externalLink+xml"/>
  <Override PartName="/xl/externalLinks/externalLink266.xml" ContentType="application/vnd.openxmlformats-officedocument.spreadsheetml.externalLink+xml"/>
  <Override PartName="/xl/externalLinks/externalLink267.xml" ContentType="application/vnd.openxmlformats-officedocument.spreadsheetml.externalLink+xml"/>
  <Override PartName="/xl/externalLinks/externalLink268.xml" ContentType="application/vnd.openxmlformats-officedocument.spreadsheetml.externalLink+xml"/>
  <Override PartName="/xl/externalLinks/externalLink26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70.xml" ContentType="application/vnd.openxmlformats-officedocument.spreadsheetml.externalLink+xml"/>
  <Override PartName="/xl/externalLinks/externalLink271.xml" ContentType="application/vnd.openxmlformats-officedocument.spreadsheetml.externalLink+xml"/>
  <Override PartName="/xl/externalLinks/externalLink272.xml" ContentType="application/vnd.openxmlformats-officedocument.spreadsheetml.externalLink+xml"/>
  <Override PartName="/xl/externalLinks/externalLink273.xml" ContentType="application/vnd.openxmlformats-officedocument.spreadsheetml.externalLink+xml"/>
  <Override PartName="/xl/externalLinks/externalLink274.xml" ContentType="application/vnd.openxmlformats-officedocument.spreadsheetml.externalLink+xml"/>
  <Override PartName="/xl/externalLinks/externalLink275.xml" ContentType="application/vnd.openxmlformats-officedocument.spreadsheetml.externalLink+xml"/>
  <Override PartName="/xl/externalLinks/externalLink276.xml" ContentType="application/vnd.openxmlformats-officedocument.spreadsheetml.externalLink+xml"/>
  <Override PartName="/xl/externalLinks/externalLink277.xml" ContentType="application/vnd.openxmlformats-officedocument.spreadsheetml.externalLink+xml"/>
  <Override PartName="/xl/externalLinks/externalLink278.xml" ContentType="application/vnd.openxmlformats-officedocument.spreadsheetml.externalLink+xml"/>
  <Override PartName="/xl/externalLinks/externalLink27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8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  <externalReference r:id="rId253"/>
    <externalReference r:id="rId254"/>
    <externalReference r:id="rId255"/>
    <externalReference r:id="rId256"/>
    <externalReference r:id="rId257"/>
    <externalReference r:id="rId258"/>
    <externalReference r:id="rId259"/>
    <externalReference r:id="rId260"/>
    <externalReference r:id="rId261"/>
    <externalReference r:id="rId262"/>
    <externalReference r:id="rId263"/>
    <externalReference r:id="rId264"/>
    <externalReference r:id="rId265"/>
    <externalReference r:id="rId266"/>
    <externalReference r:id="rId267"/>
    <externalReference r:id="rId268"/>
    <externalReference r:id="rId269"/>
    <externalReference r:id="rId270"/>
    <externalReference r:id="rId271"/>
    <externalReference r:id="rId272"/>
    <externalReference r:id="rId273"/>
    <externalReference r:id="rId274"/>
    <externalReference r:id="rId275"/>
    <externalReference r:id="rId276"/>
    <externalReference r:id="rId277"/>
    <externalReference r:id="rId278"/>
    <externalReference r:id="rId279"/>
    <externalReference r:id="rId280"/>
    <externalReference r:id="rId281"/>
    <externalReference r:id="rId282"/>
    <externalReference r:id="rId283"/>
  </externalReferences>
  <calcPr calcId="144525"/>
</workbook>
</file>

<file path=xl/sharedStrings.xml><?xml version="1.0" encoding="utf-8"?>
<sst xmlns="http://schemas.openxmlformats.org/spreadsheetml/2006/main" count="129" uniqueCount="121">
  <si>
    <t>仓库库存</t>
  </si>
  <si>
    <t>名称</t>
  </si>
  <si>
    <t>数量</t>
  </si>
  <si>
    <t>单价</t>
  </si>
  <si>
    <t>金额</t>
  </si>
  <si>
    <t>35克圣经纸780--750卷筒</t>
  </si>
  <si>
    <t>45克新闻纸781卷筒</t>
  </si>
  <si>
    <t>45克新闻纸781*1092平板</t>
  </si>
  <si>
    <t>45克新闻纸850卷筒</t>
  </si>
  <si>
    <t>45克新闻纸850*1168平板</t>
  </si>
  <si>
    <t>48克新闻纸781*1092</t>
  </si>
  <si>
    <t>50克字典纸787卷筒</t>
  </si>
  <si>
    <t>晨鸣许昌本白纸58克770卷筒</t>
  </si>
  <si>
    <t>晨鸣许昌本白纸58克787卷筒</t>
  </si>
  <si>
    <t>晨鸣许昌本白纸60克880*1194平板</t>
  </si>
  <si>
    <t>晨鸣许昌68克本白纸787卷筒</t>
  </si>
  <si>
    <t>晨鸣许昌本白纸68克787*1092平板</t>
  </si>
  <si>
    <t>晨鸣许昌本白纸68克880*1194平板</t>
  </si>
  <si>
    <t>晨鸣许昌本白纸68克889卷筒</t>
  </si>
  <si>
    <t>晨鸣许昌本白纸68克889*1194平板</t>
  </si>
  <si>
    <t>晨鸣雪松轻型纸60克770卷筒</t>
  </si>
  <si>
    <t>晨鸣雪松轻型纸60克787卷筒</t>
  </si>
  <si>
    <t>晨鸣云豹双胶纸58克720卷筒</t>
  </si>
  <si>
    <t>晨鸣云豹双胶纸58克720*1000平板</t>
  </si>
  <si>
    <t>晨鸣云豹双胶纸58克870*1194平板</t>
  </si>
  <si>
    <t>晨鸣许昌70克本白纸787卷筒</t>
  </si>
  <si>
    <t>晨鸣许昌70克本白纸787*1092平板</t>
  </si>
  <si>
    <t>地龙58克双胶纸720*1000</t>
  </si>
  <si>
    <t>地龙58克双胶787*1092</t>
  </si>
  <si>
    <t>地龙58克双胶纸889*1194</t>
  </si>
  <si>
    <t>地龙58克双胶纸889*1230</t>
  </si>
  <si>
    <t>地龙双胶纸65克720卷筒</t>
  </si>
  <si>
    <t>地龙65g双胶787*1092</t>
  </si>
  <si>
    <t>地龙65克双胶纸889*1194</t>
  </si>
  <si>
    <t>地龙68克双胶纸889*1194</t>
  </si>
  <si>
    <t>地龙75克双胶787*1092</t>
  </si>
  <si>
    <t>地龙双胶纸78克787卷筒</t>
  </si>
  <si>
    <t>地龙78克双胶787*1092</t>
  </si>
  <si>
    <t>地龙78克双胶纸889*1230</t>
  </si>
  <si>
    <t>法国轻涂纸65克787*1092</t>
  </si>
  <si>
    <t>法国轻涂纸70克787卷筒</t>
  </si>
  <si>
    <t>法国轻涂纸70克889*1194</t>
  </si>
  <si>
    <t>华垦55克本白纸770卷筒</t>
  </si>
  <si>
    <t>华垦55克本白纸870卷筒</t>
  </si>
  <si>
    <t>华垦55克本白纸889*1194平板</t>
  </si>
  <si>
    <t>华垦80克本白纸870*1120</t>
  </si>
  <si>
    <t>建信75克轻型纸710*1000</t>
  </si>
  <si>
    <t>金阳55克双胶纸720*1000</t>
  </si>
  <si>
    <t>金阳55克双胶纸770*1092</t>
  </si>
  <si>
    <t>金阳84克双胶纸889卷筒</t>
  </si>
  <si>
    <t>金阳90克双胶纸787*1030</t>
  </si>
  <si>
    <t>金阳110克双胶纸720*990</t>
  </si>
  <si>
    <t>金阳110克双胶纸889*1194</t>
  </si>
  <si>
    <t>金阳110克双胶纸925卷筒</t>
  </si>
  <si>
    <t>太阳轻型纸58克889卷筒</t>
  </si>
  <si>
    <t>太阳58克轻型纸889*1194</t>
  </si>
  <si>
    <t>太阳轻型纸65克787卷筒</t>
  </si>
  <si>
    <t>太阳65克轻型纸787*1092平板</t>
  </si>
  <si>
    <t>太阳轻型纸65克889卷筒</t>
  </si>
  <si>
    <t>太阳轻型纸75克787*1092平板</t>
  </si>
  <si>
    <t>太阳轻型纸75克889卷筒</t>
  </si>
  <si>
    <t>太阳轻型纸75克889*1194平板</t>
  </si>
  <si>
    <t>亚泰85克静电纸1092*787</t>
  </si>
  <si>
    <t>亚泰110克双胶纸889*1194</t>
  </si>
  <si>
    <t>岳阳55克1号机本白纸550*2卷筒</t>
  </si>
  <si>
    <t>岳阳55克本白纸1号机550*787平板</t>
  </si>
  <si>
    <t>岳阳55克本白纸1号机770*1092平板</t>
  </si>
  <si>
    <t>岳阳本白纸55克8号机780卷筒</t>
  </si>
  <si>
    <t>岳阳55克本白纸8号机880卷筒</t>
  </si>
  <si>
    <t>岳阳55克本白纸10号机770*1092平板</t>
  </si>
  <si>
    <t>岳阳60克本白纸8号机870卷筒</t>
  </si>
  <si>
    <t>岳阳60克本白纸8号机82度870*1194平板</t>
  </si>
  <si>
    <t>岳阳70克10号机85度本白纸770卷筒</t>
  </si>
  <si>
    <t>岳阳70克本白纸10号机85度770*1092平板</t>
  </si>
  <si>
    <t>岳阳80克本白纸3号机85度550*787平板</t>
  </si>
  <si>
    <t>岳阳80克本白纸3号机85度780*1092平板</t>
  </si>
  <si>
    <t>岳阳80克本白纸3号机85度880卷筒</t>
  </si>
  <si>
    <t>岳阳80克本白纸3号机85度890*1194平板</t>
  </si>
  <si>
    <t>岳阳本白纸80克8号机82度787卷筒</t>
  </si>
  <si>
    <t>岳阳本白纸70克食品包装纸3号机76度880*1194平板</t>
  </si>
  <si>
    <t>岳阳65克复合纸870---800卷筒</t>
  </si>
  <si>
    <t>岳阳64克轻涂纸787卷筒</t>
  </si>
  <si>
    <t>岳阳64克轻涂纸860卷筒</t>
  </si>
  <si>
    <t>岳阳轻涂纸70克787*1000</t>
  </si>
  <si>
    <t>岳阳轻涂纸70克787*1092</t>
  </si>
  <si>
    <t>岳阳轻涂纸70克787*1160</t>
  </si>
  <si>
    <t>岳阳轻涂纸80克787卷筒</t>
  </si>
  <si>
    <t>岳阳轻涂纸80克787*1092</t>
  </si>
  <si>
    <t>岳阳轻涂纸80克880*1194</t>
  </si>
  <si>
    <t>岳阳轻涂纸80克889卷筒</t>
  </si>
  <si>
    <t>岳阳轻涂纸80克889*1194</t>
  </si>
  <si>
    <t>岳阳轻型纸9号机60克880卷筒</t>
  </si>
  <si>
    <t>岳阳80克轻型纸9号机889*1194平板</t>
  </si>
  <si>
    <t>岳阳轻型纸58克10号机1000卷筒</t>
  </si>
  <si>
    <t>岳阳轻型纸58克889*1194</t>
  </si>
  <si>
    <t>岳阳60克轻型纸10号机720*1000平板</t>
  </si>
  <si>
    <t>岳阳60克轻型纸10号机787*1092</t>
  </si>
  <si>
    <t>岳阳60克轻型纸10号机850*1168平板</t>
  </si>
  <si>
    <t>岳阳轻型纸65克2号机889*1194</t>
  </si>
  <si>
    <t>岳阳轻型纸65克2号机1000卷筒</t>
  </si>
  <si>
    <t>岳阳轻型纸65克2号机1000*720</t>
  </si>
  <si>
    <t>岳阳轻型纸70克710*1005</t>
  </si>
  <si>
    <t>岳阳轻型纸75克2号机787卷筒</t>
  </si>
  <si>
    <t>岳阳75克轻型纸2号机787*1092平板</t>
  </si>
  <si>
    <t>岳阳轻型纸75克2号机889卷筒</t>
  </si>
  <si>
    <t>岳阳轻型纸75克2号机889*1194</t>
  </si>
  <si>
    <t>岳阳轻型纸85克2号机889卷筒</t>
  </si>
  <si>
    <t>岳阳轻型纸85克2号机889*1194</t>
  </si>
  <si>
    <t>岳阳轻型纸95克2号机787卷筒</t>
  </si>
  <si>
    <t>岳阳轻型纸95克2号机787*1092</t>
  </si>
  <si>
    <t>岳阳轻型纸95克2号机889卷筒</t>
  </si>
  <si>
    <t>岳阳73克全木浆双胶纸889*1194平板</t>
  </si>
  <si>
    <t>岳阳58克双胶纸720*1000</t>
  </si>
  <si>
    <t>岳阳58克双胶纸787*1092</t>
  </si>
  <si>
    <t>岳阳58克双胶纸889*1230</t>
  </si>
  <si>
    <t>岳阳75克双胶纸787*1092</t>
  </si>
  <si>
    <t>岳阳118克双胶纸889卷筒</t>
  </si>
  <si>
    <t>岳阳52克铜版原纸896*1194</t>
  </si>
  <si>
    <t>岳阳涂布纯质纸80克889卷筒</t>
  </si>
  <si>
    <t>岳阳涂布纯质纸80克889*1230</t>
  </si>
  <si>
    <t>岳阳52克铸涂原纸1190*889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</si>
</sst>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9" Type="http://schemas.openxmlformats.org/officeDocument/2006/relationships/externalLink" Target="externalLinks/externalLink96.xml"/><Relationship Id="rId98" Type="http://schemas.openxmlformats.org/officeDocument/2006/relationships/externalLink" Target="externalLinks/externalLink95.xml"/><Relationship Id="rId97" Type="http://schemas.openxmlformats.org/officeDocument/2006/relationships/externalLink" Target="externalLinks/externalLink94.xml"/><Relationship Id="rId96" Type="http://schemas.openxmlformats.org/officeDocument/2006/relationships/externalLink" Target="externalLinks/externalLink93.xml"/><Relationship Id="rId95" Type="http://schemas.openxmlformats.org/officeDocument/2006/relationships/externalLink" Target="externalLinks/externalLink92.xml"/><Relationship Id="rId94" Type="http://schemas.openxmlformats.org/officeDocument/2006/relationships/externalLink" Target="externalLinks/externalLink91.xml"/><Relationship Id="rId93" Type="http://schemas.openxmlformats.org/officeDocument/2006/relationships/externalLink" Target="externalLinks/externalLink90.xml"/><Relationship Id="rId92" Type="http://schemas.openxmlformats.org/officeDocument/2006/relationships/externalLink" Target="externalLinks/externalLink89.xml"/><Relationship Id="rId91" Type="http://schemas.openxmlformats.org/officeDocument/2006/relationships/externalLink" Target="externalLinks/externalLink88.xml"/><Relationship Id="rId90" Type="http://schemas.openxmlformats.org/officeDocument/2006/relationships/externalLink" Target="externalLinks/externalLink87.xml"/><Relationship Id="rId9" Type="http://schemas.openxmlformats.org/officeDocument/2006/relationships/externalLink" Target="externalLinks/externalLink6.xml"/><Relationship Id="rId89" Type="http://schemas.openxmlformats.org/officeDocument/2006/relationships/externalLink" Target="externalLinks/externalLink86.xml"/><Relationship Id="rId88" Type="http://schemas.openxmlformats.org/officeDocument/2006/relationships/externalLink" Target="externalLinks/externalLink85.xml"/><Relationship Id="rId87" Type="http://schemas.openxmlformats.org/officeDocument/2006/relationships/externalLink" Target="externalLinks/externalLink84.xml"/><Relationship Id="rId86" Type="http://schemas.openxmlformats.org/officeDocument/2006/relationships/externalLink" Target="externalLinks/externalLink83.xml"/><Relationship Id="rId85" Type="http://schemas.openxmlformats.org/officeDocument/2006/relationships/externalLink" Target="externalLinks/externalLink82.xml"/><Relationship Id="rId84" Type="http://schemas.openxmlformats.org/officeDocument/2006/relationships/externalLink" Target="externalLinks/externalLink81.xml"/><Relationship Id="rId83" Type="http://schemas.openxmlformats.org/officeDocument/2006/relationships/externalLink" Target="externalLinks/externalLink80.xml"/><Relationship Id="rId82" Type="http://schemas.openxmlformats.org/officeDocument/2006/relationships/externalLink" Target="externalLinks/externalLink79.xml"/><Relationship Id="rId81" Type="http://schemas.openxmlformats.org/officeDocument/2006/relationships/externalLink" Target="externalLinks/externalLink78.xml"/><Relationship Id="rId80" Type="http://schemas.openxmlformats.org/officeDocument/2006/relationships/externalLink" Target="externalLinks/externalLink77.xml"/><Relationship Id="rId8" Type="http://schemas.openxmlformats.org/officeDocument/2006/relationships/externalLink" Target="externalLinks/externalLink5.xml"/><Relationship Id="rId79" Type="http://schemas.openxmlformats.org/officeDocument/2006/relationships/externalLink" Target="externalLinks/externalLink76.xml"/><Relationship Id="rId78" Type="http://schemas.openxmlformats.org/officeDocument/2006/relationships/externalLink" Target="externalLinks/externalLink75.xml"/><Relationship Id="rId77" Type="http://schemas.openxmlformats.org/officeDocument/2006/relationships/externalLink" Target="externalLinks/externalLink74.xml"/><Relationship Id="rId76" Type="http://schemas.openxmlformats.org/officeDocument/2006/relationships/externalLink" Target="externalLinks/externalLink73.xml"/><Relationship Id="rId75" Type="http://schemas.openxmlformats.org/officeDocument/2006/relationships/externalLink" Target="externalLinks/externalLink72.xml"/><Relationship Id="rId74" Type="http://schemas.openxmlformats.org/officeDocument/2006/relationships/externalLink" Target="externalLinks/externalLink71.xml"/><Relationship Id="rId73" Type="http://schemas.openxmlformats.org/officeDocument/2006/relationships/externalLink" Target="externalLinks/externalLink70.xml"/><Relationship Id="rId72" Type="http://schemas.openxmlformats.org/officeDocument/2006/relationships/externalLink" Target="externalLinks/externalLink69.xml"/><Relationship Id="rId71" Type="http://schemas.openxmlformats.org/officeDocument/2006/relationships/externalLink" Target="externalLinks/externalLink68.xml"/><Relationship Id="rId70" Type="http://schemas.openxmlformats.org/officeDocument/2006/relationships/externalLink" Target="externalLinks/externalLink67.xml"/><Relationship Id="rId7" Type="http://schemas.openxmlformats.org/officeDocument/2006/relationships/externalLink" Target="externalLinks/externalLink4.xml"/><Relationship Id="rId69" Type="http://schemas.openxmlformats.org/officeDocument/2006/relationships/externalLink" Target="externalLinks/externalLink66.xml"/><Relationship Id="rId68" Type="http://schemas.openxmlformats.org/officeDocument/2006/relationships/externalLink" Target="externalLinks/externalLink65.xml"/><Relationship Id="rId67" Type="http://schemas.openxmlformats.org/officeDocument/2006/relationships/externalLink" Target="externalLinks/externalLink64.xml"/><Relationship Id="rId66" Type="http://schemas.openxmlformats.org/officeDocument/2006/relationships/externalLink" Target="externalLinks/externalLink63.xml"/><Relationship Id="rId65" Type="http://schemas.openxmlformats.org/officeDocument/2006/relationships/externalLink" Target="externalLinks/externalLink62.xml"/><Relationship Id="rId64" Type="http://schemas.openxmlformats.org/officeDocument/2006/relationships/externalLink" Target="externalLinks/externalLink61.xml"/><Relationship Id="rId63" Type="http://schemas.openxmlformats.org/officeDocument/2006/relationships/externalLink" Target="externalLinks/externalLink60.xml"/><Relationship Id="rId62" Type="http://schemas.openxmlformats.org/officeDocument/2006/relationships/externalLink" Target="externalLinks/externalLink59.xml"/><Relationship Id="rId61" Type="http://schemas.openxmlformats.org/officeDocument/2006/relationships/externalLink" Target="externalLinks/externalLink58.xml"/><Relationship Id="rId60" Type="http://schemas.openxmlformats.org/officeDocument/2006/relationships/externalLink" Target="externalLinks/externalLink57.xml"/><Relationship Id="rId6" Type="http://schemas.openxmlformats.org/officeDocument/2006/relationships/externalLink" Target="externalLinks/externalLink3.xml"/><Relationship Id="rId59" Type="http://schemas.openxmlformats.org/officeDocument/2006/relationships/externalLink" Target="externalLinks/externalLink56.xml"/><Relationship Id="rId58" Type="http://schemas.openxmlformats.org/officeDocument/2006/relationships/externalLink" Target="externalLinks/externalLink55.xml"/><Relationship Id="rId57" Type="http://schemas.openxmlformats.org/officeDocument/2006/relationships/externalLink" Target="externalLinks/externalLink54.xml"/><Relationship Id="rId56" Type="http://schemas.openxmlformats.org/officeDocument/2006/relationships/externalLink" Target="externalLinks/externalLink53.xml"/><Relationship Id="rId55" Type="http://schemas.openxmlformats.org/officeDocument/2006/relationships/externalLink" Target="externalLinks/externalLink52.xml"/><Relationship Id="rId54" Type="http://schemas.openxmlformats.org/officeDocument/2006/relationships/externalLink" Target="externalLinks/externalLink51.xml"/><Relationship Id="rId53" Type="http://schemas.openxmlformats.org/officeDocument/2006/relationships/externalLink" Target="externalLinks/externalLink50.xml"/><Relationship Id="rId52" Type="http://schemas.openxmlformats.org/officeDocument/2006/relationships/externalLink" Target="externalLinks/externalLink49.xml"/><Relationship Id="rId51" Type="http://schemas.openxmlformats.org/officeDocument/2006/relationships/externalLink" Target="externalLinks/externalLink48.xml"/><Relationship Id="rId50" Type="http://schemas.openxmlformats.org/officeDocument/2006/relationships/externalLink" Target="externalLinks/externalLink47.xml"/><Relationship Id="rId5" Type="http://schemas.openxmlformats.org/officeDocument/2006/relationships/externalLink" Target="externalLinks/externalLink2.xml"/><Relationship Id="rId49" Type="http://schemas.openxmlformats.org/officeDocument/2006/relationships/externalLink" Target="externalLinks/externalLink46.xml"/><Relationship Id="rId48" Type="http://schemas.openxmlformats.org/officeDocument/2006/relationships/externalLink" Target="externalLinks/externalLink45.xml"/><Relationship Id="rId47" Type="http://schemas.openxmlformats.org/officeDocument/2006/relationships/externalLink" Target="externalLinks/externalLink44.xml"/><Relationship Id="rId46" Type="http://schemas.openxmlformats.org/officeDocument/2006/relationships/externalLink" Target="externalLinks/externalLink43.xml"/><Relationship Id="rId45" Type="http://schemas.openxmlformats.org/officeDocument/2006/relationships/externalLink" Target="externalLinks/externalLink42.xml"/><Relationship Id="rId44" Type="http://schemas.openxmlformats.org/officeDocument/2006/relationships/externalLink" Target="externalLinks/externalLink41.xml"/><Relationship Id="rId43" Type="http://schemas.openxmlformats.org/officeDocument/2006/relationships/externalLink" Target="externalLinks/externalLink40.xml"/><Relationship Id="rId42" Type="http://schemas.openxmlformats.org/officeDocument/2006/relationships/externalLink" Target="externalLinks/externalLink39.xml"/><Relationship Id="rId41" Type="http://schemas.openxmlformats.org/officeDocument/2006/relationships/externalLink" Target="externalLinks/externalLink38.xml"/><Relationship Id="rId40" Type="http://schemas.openxmlformats.org/officeDocument/2006/relationships/externalLink" Target="externalLinks/externalLink37.xml"/><Relationship Id="rId4" Type="http://schemas.openxmlformats.org/officeDocument/2006/relationships/externalLink" Target="externalLinks/externalLink1.xml"/><Relationship Id="rId39" Type="http://schemas.openxmlformats.org/officeDocument/2006/relationships/externalLink" Target="externalLinks/externalLink36.xml"/><Relationship Id="rId38" Type="http://schemas.openxmlformats.org/officeDocument/2006/relationships/externalLink" Target="externalLinks/externalLink35.xml"/><Relationship Id="rId37" Type="http://schemas.openxmlformats.org/officeDocument/2006/relationships/externalLink" Target="externalLinks/externalLink34.xml"/><Relationship Id="rId36" Type="http://schemas.openxmlformats.org/officeDocument/2006/relationships/externalLink" Target="externalLinks/externalLink33.xml"/><Relationship Id="rId35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31.xml"/><Relationship Id="rId33" Type="http://schemas.openxmlformats.org/officeDocument/2006/relationships/externalLink" Target="externalLinks/externalLink30.xml"/><Relationship Id="rId32" Type="http://schemas.openxmlformats.org/officeDocument/2006/relationships/externalLink" Target="externalLinks/externalLink29.xml"/><Relationship Id="rId31" Type="http://schemas.openxmlformats.org/officeDocument/2006/relationships/externalLink" Target="externalLinks/externalLink28.xml"/><Relationship Id="rId30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6.xml"/><Relationship Id="rId286" Type="http://schemas.openxmlformats.org/officeDocument/2006/relationships/sharedStrings" Target="sharedStrings.xml"/><Relationship Id="rId285" Type="http://schemas.openxmlformats.org/officeDocument/2006/relationships/styles" Target="styles.xml"/><Relationship Id="rId284" Type="http://schemas.openxmlformats.org/officeDocument/2006/relationships/theme" Target="theme/theme1.xml"/><Relationship Id="rId283" Type="http://schemas.openxmlformats.org/officeDocument/2006/relationships/externalLink" Target="externalLinks/externalLink280.xml"/><Relationship Id="rId282" Type="http://schemas.openxmlformats.org/officeDocument/2006/relationships/externalLink" Target="externalLinks/externalLink279.xml"/><Relationship Id="rId281" Type="http://schemas.openxmlformats.org/officeDocument/2006/relationships/externalLink" Target="externalLinks/externalLink278.xml"/><Relationship Id="rId280" Type="http://schemas.openxmlformats.org/officeDocument/2006/relationships/externalLink" Target="externalLinks/externalLink277.xml"/><Relationship Id="rId28" Type="http://schemas.openxmlformats.org/officeDocument/2006/relationships/externalLink" Target="externalLinks/externalLink25.xml"/><Relationship Id="rId279" Type="http://schemas.openxmlformats.org/officeDocument/2006/relationships/externalLink" Target="externalLinks/externalLink276.xml"/><Relationship Id="rId278" Type="http://schemas.openxmlformats.org/officeDocument/2006/relationships/externalLink" Target="externalLinks/externalLink275.xml"/><Relationship Id="rId277" Type="http://schemas.openxmlformats.org/officeDocument/2006/relationships/externalLink" Target="externalLinks/externalLink274.xml"/><Relationship Id="rId276" Type="http://schemas.openxmlformats.org/officeDocument/2006/relationships/externalLink" Target="externalLinks/externalLink273.xml"/><Relationship Id="rId275" Type="http://schemas.openxmlformats.org/officeDocument/2006/relationships/externalLink" Target="externalLinks/externalLink272.xml"/><Relationship Id="rId274" Type="http://schemas.openxmlformats.org/officeDocument/2006/relationships/externalLink" Target="externalLinks/externalLink271.xml"/><Relationship Id="rId273" Type="http://schemas.openxmlformats.org/officeDocument/2006/relationships/externalLink" Target="externalLinks/externalLink270.xml"/><Relationship Id="rId272" Type="http://schemas.openxmlformats.org/officeDocument/2006/relationships/externalLink" Target="externalLinks/externalLink269.xml"/><Relationship Id="rId271" Type="http://schemas.openxmlformats.org/officeDocument/2006/relationships/externalLink" Target="externalLinks/externalLink268.xml"/><Relationship Id="rId270" Type="http://schemas.openxmlformats.org/officeDocument/2006/relationships/externalLink" Target="externalLinks/externalLink267.xml"/><Relationship Id="rId27" Type="http://schemas.openxmlformats.org/officeDocument/2006/relationships/externalLink" Target="externalLinks/externalLink24.xml"/><Relationship Id="rId269" Type="http://schemas.openxmlformats.org/officeDocument/2006/relationships/externalLink" Target="externalLinks/externalLink266.xml"/><Relationship Id="rId268" Type="http://schemas.openxmlformats.org/officeDocument/2006/relationships/externalLink" Target="externalLinks/externalLink265.xml"/><Relationship Id="rId267" Type="http://schemas.openxmlformats.org/officeDocument/2006/relationships/externalLink" Target="externalLinks/externalLink264.xml"/><Relationship Id="rId266" Type="http://schemas.openxmlformats.org/officeDocument/2006/relationships/externalLink" Target="externalLinks/externalLink263.xml"/><Relationship Id="rId265" Type="http://schemas.openxmlformats.org/officeDocument/2006/relationships/externalLink" Target="externalLinks/externalLink262.xml"/><Relationship Id="rId264" Type="http://schemas.openxmlformats.org/officeDocument/2006/relationships/externalLink" Target="externalLinks/externalLink261.xml"/><Relationship Id="rId263" Type="http://schemas.openxmlformats.org/officeDocument/2006/relationships/externalLink" Target="externalLinks/externalLink260.xml"/><Relationship Id="rId262" Type="http://schemas.openxmlformats.org/officeDocument/2006/relationships/externalLink" Target="externalLinks/externalLink259.xml"/><Relationship Id="rId261" Type="http://schemas.openxmlformats.org/officeDocument/2006/relationships/externalLink" Target="externalLinks/externalLink258.xml"/><Relationship Id="rId260" Type="http://schemas.openxmlformats.org/officeDocument/2006/relationships/externalLink" Target="externalLinks/externalLink257.xml"/><Relationship Id="rId26" Type="http://schemas.openxmlformats.org/officeDocument/2006/relationships/externalLink" Target="externalLinks/externalLink23.xml"/><Relationship Id="rId259" Type="http://schemas.openxmlformats.org/officeDocument/2006/relationships/externalLink" Target="externalLinks/externalLink256.xml"/><Relationship Id="rId258" Type="http://schemas.openxmlformats.org/officeDocument/2006/relationships/externalLink" Target="externalLinks/externalLink255.xml"/><Relationship Id="rId257" Type="http://schemas.openxmlformats.org/officeDocument/2006/relationships/externalLink" Target="externalLinks/externalLink254.xml"/><Relationship Id="rId256" Type="http://schemas.openxmlformats.org/officeDocument/2006/relationships/externalLink" Target="externalLinks/externalLink253.xml"/><Relationship Id="rId255" Type="http://schemas.openxmlformats.org/officeDocument/2006/relationships/externalLink" Target="externalLinks/externalLink252.xml"/><Relationship Id="rId254" Type="http://schemas.openxmlformats.org/officeDocument/2006/relationships/externalLink" Target="externalLinks/externalLink251.xml"/><Relationship Id="rId253" Type="http://schemas.openxmlformats.org/officeDocument/2006/relationships/externalLink" Target="externalLinks/externalLink250.xml"/><Relationship Id="rId252" Type="http://schemas.openxmlformats.org/officeDocument/2006/relationships/externalLink" Target="externalLinks/externalLink249.xml"/><Relationship Id="rId251" Type="http://schemas.openxmlformats.org/officeDocument/2006/relationships/externalLink" Target="externalLinks/externalLink248.xml"/><Relationship Id="rId250" Type="http://schemas.openxmlformats.org/officeDocument/2006/relationships/externalLink" Target="externalLinks/externalLink247.xml"/><Relationship Id="rId25" Type="http://schemas.openxmlformats.org/officeDocument/2006/relationships/externalLink" Target="externalLinks/externalLink22.xml"/><Relationship Id="rId249" Type="http://schemas.openxmlformats.org/officeDocument/2006/relationships/externalLink" Target="externalLinks/externalLink246.xml"/><Relationship Id="rId248" Type="http://schemas.openxmlformats.org/officeDocument/2006/relationships/externalLink" Target="externalLinks/externalLink245.xml"/><Relationship Id="rId247" Type="http://schemas.openxmlformats.org/officeDocument/2006/relationships/externalLink" Target="externalLinks/externalLink244.xml"/><Relationship Id="rId246" Type="http://schemas.openxmlformats.org/officeDocument/2006/relationships/externalLink" Target="externalLinks/externalLink243.xml"/><Relationship Id="rId245" Type="http://schemas.openxmlformats.org/officeDocument/2006/relationships/externalLink" Target="externalLinks/externalLink242.xml"/><Relationship Id="rId244" Type="http://schemas.openxmlformats.org/officeDocument/2006/relationships/externalLink" Target="externalLinks/externalLink241.xml"/><Relationship Id="rId243" Type="http://schemas.openxmlformats.org/officeDocument/2006/relationships/externalLink" Target="externalLinks/externalLink240.xml"/><Relationship Id="rId242" Type="http://schemas.openxmlformats.org/officeDocument/2006/relationships/externalLink" Target="externalLinks/externalLink239.xml"/><Relationship Id="rId241" Type="http://schemas.openxmlformats.org/officeDocument/2006/relationships/externalLink" Target="externalLinks/externalLink238.xml"/><Relationship Id="rId240" Type="http://schemas.openxmlformats.org/officeDocument/2006/relationships/externalLink" Target="externalLinks/externalLink237.xml"/><Relationship Id="rId24" Type="http://schemas.openxmlformats.org/officeDocument/2006/relationships/externalLink" Target="externalLinks/externalLink21.xml"/><Relationship Id="rId239" Type="http://schemas.openxmlformats.org/officeDocument/2006/relationships/externalLink" Target="externalLinks/externalLink236.xml"/><Relationship Id="rId238" Type="http://schemas.openxmlformats.org/officeDocument/2006/relationships/externalLink" Target="externalLinks/externalLink235.xml"/><Relationship Id="rId237" Type="http://schemas.openxmlformats.org/officeDocument/2006/relationships/externalLink" Target="externalLinks/externalLink234.xml"/><Relationship Id="rId236" Type="http://schemas.openxmlformats.org/officeDocument/2006/relationships/externalLink" Target="externalLinks/externalLink233.xml"/><Relationship Id="rId235" Type="http://schemas.openxmlformats.org/officeDocument/2006/relationships/externalLink" Target="externalLinks/externalLink232.xml"/><Relationship Id="rId234" Type="http://schemas.openxmlformats.org/officeDocument/2006/relationships/externalLink" Target="externalLinks/externalLink231.xml"/><Relationship Id="rId233" Type="http://schemas.openxmlformats.org/officeDocument/2006/relationships/externalLink" Target="externalLinks/externalLink230.xml"/><Relationship Id="rId232" Type="http://schemas.openxmlformats.org/officeDocument/2006/relationships/externalLink" Target="externalLinks/externalLink229.xml"/><Relationship Id="rId231" Type="http://schemas.openxmlformats.org/officeDocument/2006/relationships/externalLink" Target="externalLinks/externalLink228.xml"/><Relationship Id="rId230" Type="http://schemas.openxmlformats.org/officeDocument/2006/relationships/externalLink" Target="externalLinks/externalLink227.xml"/><Relationship Id="rId23" Type="http://schemas.openxmlformats.org/officeDocument/2006/relationships/externalLink" Target="externalLinks/externalLink20.xml"/><Relationship Id="rId229" Type="http://schemas.openxmlformats.org/officeDocument/2006/relationships/externalLink" Target="externalLinks/externalLink226.xml"/><Relationship Id="rId228" Type="http://schemas.openxmlformats.org/officeDocument/2006/relationships/externalLink" Target="externalLinks/externalLink225.xml"/><Relationship Id="rId227" Type="http://schemas.openxmlformats.org/officeDocument/2006/relationships/externalLink" Target="externalLinks/externalLink224.xml"/><Relationship Id="rId226" Type="http://schemas.openxmlformats.org/officeDocument/2006/relationships/externalLink" Target="externalLinks/externalLink223.xml"/><Relationship Id="rId225" Type="http://schemas.openxmlformats.org/officeDocument/2006/relationships/externalLink" Target="externalLinks/externalLink222.xml"/><Relationship Id="rId224" Type="http://schemas.openxmlformats.org/officeDocument/2006/relationships/externalLink" Target="externalLinks/externalLink221.xml"/><Relationship Id="rId223" Type="http://schemas.openxmlformats.org/officeDocument/2006/relationships/externalLink" Target="externalLinks/externalLink220.xml"/><Relationship Id="rId222" Type="http://schemas.openxmlformats.org/officeDocument/2006/relationships/externalLink" Target="externalLinks/externalLink219.xml"/><Relationship Id="rId221" Type="http://schemas.openxmlformats.org/officeDocument/2006/relationships/externalLink" Target="externalLinks/externalLink218.xml"/><Relationship Id="rId220" Type="http://schemas.openxmlformats.org/officeDocument/2006/relationships/externalLink" Target="externalLinks/externalLink217.xml"/><Relationship Id="rId22" Type="http://schemas.openxmlformats.org/officeDocument/2006/relationships/externalLink" Target="externalLinks/externalLink19.xml"/><Relationship Id="rId219" Type="http://schemas.openxmlformats.org/officeDocument/2006/relationships/externalLink" Target="externalLinks/externalLink216.xml"/><Relationship Id="rId218" Type="http://schemas.openxmlformats.org/officeDocument/2006/relationships/externalLink" Target="externalLinks/externalLink215.xml"/><Relationship Id="rId217" Type="http://schemas.openxmlformats.org/officeDocument/2006/relationships/externalLink" Target="externalLinks/externalLink214.xml"/><Relationship Id="rId216" Type="http://schemas.openxmlformats.org/officeDocument/2006/relationships/externalLink" Target="externalLinks/externalLink213.xml"/><Relationship Id="rId215" Type="http://schemas.openxmlformats.org/officeDocument/2006/relationships/externalLink" Target="externalLinks/externalLink212.xml"/><Relationship Id="rId214" Type="http://schemas.openxmlformats.org/officeDocument/2006/relationships/externalLink" Target="externalLinks/externalLink211.xml"/><Relationship Id="rId213" Type="http://schemas.openxmlformats.org/officeDocument/2006/relationships/externalLink" Target="externalLinks/externalLink210.xml"/><Relationship Id="rId212" Type="http://schemas.openxmlformats.org/officeDocument/2006/relationships/externalLink" Target="externalLinks/externalLink209.xml"/><Relationship Id="rId211" Type="http://schemas.openxmlformats.org/officeDocument/2006/relationships/externalLink" Target="externalLinks/externalLink208.xml"/><Relationship Id="rId210" Type="http://schemas.openxmlformats.org/officeDocument/2006/relationships/externalLink" Target="externalLinks/externalLink207.xml"/><Relationship Id="rId21" Type="http://schemas.openxmlformats.org/officeDocument/2006/relationships/externalLink" Target="externalLinks/externalLink18.xml"/><Relationship Id="rId209" Type="http://schemas.openxmlformats.org/officeDocument/2006/relationships/externalLink" Target="externalLinks/externalLink206.xml"/><Relationship Id="rId208" Type="http://schemas.openxmlformats.org/officeDocument/2006/relationships/externalLink" Target="externalLinks/externalLink205.xml"/><Relationship Id="rId207" Type="http://schemas.openxmlformats.org/officeDocument/2006/relationships/externalLink" Target="externalLinks/externalLink204.xml"/><Relationship Id="rId206" Type="http://schemas.openxmlformats.org/officeDocument/2006/relationships/externalLink" Target="externalLinks/externalLink203.xml"/><Relationship Id="rId205" Type="http://schemas.openxmlformats.org/officeDocument/2006/relationships/externalLink" Target="externalLinks/externalLink202.xml"/><Relationship Id="rId204" Type="http://schemas.openxmlformats.org/officeDocument/2006/relationships/externalLink" Target="externalLinks/externalLink201.xml"/><Relationship Id="rId203" Type="http://schemas.openxmlformats.org/officeDocument/2006/relationships/externalLink" Target="externalLinks/externalLink200.xml"/><Relationship Id="rId202" Type="http://schemas.openxmlformats.org/officeDocument/2006/relationships/externalLink" Target="externalLinks/externalLink199.xml"/><Relationship Id="rId201" Type="http://schemas.openxmlformats.org/officeDocument/2006/relationships/externalLink" Target="externalLinks/externalLink198.xml"/><Relationship Id="rId200" Type="http://schemas.openxmlformats.org/officeDocument/2006/relationships/externalLink" Target="externalLinks/externalLink197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9" Type="http://schemas.openxmlformats.org/officeDocument/2006/relationships/externalLink" Target="externalLinks/externalLink196.xml"/><Relationship Id="rId198" Type="http://schemas.openxmlformats.org/officeDocument/2006/relationships/externalLink" Target="externalLinks/externalLink195.xml"/><Relationship Id="rId197" Type="http://schemas.openxmlformats.org/officeDocument/2006/relationships/externalLink" Target="externalLinks/externalLink194.xml"/><Relationship Id="rId196" Type="http://schemas.openxmlformats.org/officeDocument/2006/relationships/externalLink" Target="externalLinks/externalLink193.xml"/><Relationship Id="rId195" Type="http://schemas.openxmlformats.org/officeDocument/2006/relationships/externalLink" Target="externalLinks/externalLink192.xml"/><Relationship Id="rId194" Type="http://schemas.openxmlformats.org/officeDocument/2006/relationships/externalLink" Target="externalLinks/externalLink191.xml"/><Relationship Id="rId193" Type="http://schemas.openxmlformats.org/officeDocument/2006/relationships/externalLink" Target="externalLinks/externalLink190.xml"/><Relationship Id="rId192" Type="http://schemas.openxmlformats.org/officeDocument/2006/relationships/externalLink" Target="externalLinks/externalLink189.xml"/><Relationship Id="rId191" Type="http://schemas.openxmlformats.org/officeDocument/2006/relationships/externalLink" Target="externalLinks/externalLink188.xml"/><Relationship Id="rId190" Type="http://schemas.openxmlformats.org/officeDocument/2006/relationships/externalLink" Target="externalLinks/externalLink187.xml"/><Relationship Id="rId19" Type="http://schemas.openxmlformats.org/officeDocument/2006/relationships/externalLink" Target="externalLinks/externalLink16.xml"/><Relationship Id="rId189" Type="http://schemas.openxmlformats.org/officeDocument/2006/relationships/externalLink" Target="externalLinks/externalLink186.xml"/><Relationship Id="rId188" Type="http://schemas.openxmlformats.org/officeDocument/2006/relationships/externalLink" Target="externalLinks/externalLink185.xml"/><Relationship Id="rId187" Type="http://schemas.openxmlformats.org/officeDocument/2006/relationships/externalLink" Target="externalLinks/externalLink184.xml"/><Relationship Id="rId186" Type="http://schemas.openxmlformats.org/officeDocument/2006/relationships/externalLink" Target="externalLinks/externalLink183.xml"/><Relationship Id="rId185" Type="http://schemas.openxmlformats.org/officeDocument/2006/relationships/externalLink" Target="externalLinks/externalLink182.xml"/><Relationship Id="rId184" Type="http://schemas.openxmlformats.org/officeDocument/2006/relationships/externalLink" Target="externalLinks/externalLink181.xml"/><Relationship Id="rId183" Type="http://schemas.openxmlformats.org/officeDocument/2006/relationships/externalLink" Target="externalLinks/externalLink180.xml"/><Relationship Id="rId182" Type="http://schemas.openxmlformats.org/officeDocument/2006/relationships/externalLink" Target="externalLinks/externalLink179.xml"/><Relationship Id="rId181" Type="http://schemas.openxmlformats.org/officeDocument/2006/relationships/externalLink" Target="externalLinks/externalLink178.xml"/><Relationship Id="rId180" Type="http://schemas.openxmlformats.org/officeDocument/2006/relationships/externalLink" Target="externalLinks/externalLink177.xml"/><Relationship Id="rId18" Type="http://schemas.openxmlformats.org/officeDocument/2006/relationships/externalLink" Target="externalLinks/externalLink15.xml"/><Relationship Id="rId179" Type="http://schemas.openxmlformats.org/officeDocument/2006/relationships/externalLink" Target="externalLinks/externalLink176.xml"/><Relationship Id="rId178" Type="http://schemas.openxmlformats.org/officeDocument/2006/relationships/externalLink" Target="externalLinks/externalLink175.xml"/><Relationship Id="rId177" Type="http://schemas.openxmlformats.org/officeDocument/2006/relationships/externalLink" Target="externalLinks/externalLink174.xml"/><Relationship Id="rId176" Type="http://schemas.openxmlformats.org/officeDocument/2006/relationships/externalLink" Target="externalLinks/externalLink173.xml"/><Relationship Id="rId175" Type="http://schemas.openxmlformats.org/officeDocument/2006/relationships/externalLink" Target="externalLinks/externalLink172.xml"/><Relationship Id="rId174" Type="http://schemas.openxmlformats.org/officeDocument/2006/relationships/externalLink" Target="externalLinks/externalLink171.xml"/><Relationship Id="rId173" Type="http://schemas.openxmlformats.org/officeDocument/2006/relationships/externalLink" Target="externalLinks/externalLink170.xml"/><Relationship Id="rId172" Type="http://schemas.openxmlformats.org/officeDocument/2006/relationships/externalLink" Target="externalLinks/externalLink169.xml"/><Relationship Id="rId171" Type="http://schemas.openxmlformats.org/officeDocument/2006/relationships/externalLink" Target="externalLinks/externalLink168.xml"/><Relationship Id="rId170" Type="http://schemas.openxmlformats.org/officeDocument/2006/relationships/externalLink" Target="externalLinks/externalLink167.xml"/><Relationship Id="rId17" Type="http://schemas.openxmlformats.org/officeDocument/2006/relationships/externalLink" Target="externalLinks/externalLink14.xml"/><Relationship Id="rId169" Type="http://schemas.openxmlformats.org/officeDocument/2006/relationships/externalLink" Target="externalLinks/externalLink166.xml"/><Relationship Id="rId168" Type="http://schemas.openxmlformats.org/officeDocument/2006/relationships/externalLink" Target="externalLinks/externalLink165.xml"/><Relationship Id="rId167" Type="http://schemas.openxmlformats.org/officeDocument/2006/relationships/externalLink" Target="externalLinks/externalLink164.xml"/><Relationship Id="rId166" Type="http://schemas.openxmlformats.org/officeDocument/2006/relationships/externalLink" Target="externalLinks/externalLink163.xml"/><Relationship Id="rId165" Type="http://schemas.openxmlformats.org/officeDocument/2006/relationships/externalLink" Target="externalLinks/externalLink162.xml"/><Relationship Id="rId164" Type="http://schemas.openxmlformats.org/officeDocument/2006/relationships/externalLink" Target="externalLinks/externalLink161.xml"/><Relationship Id="rId163" Type="http://schemas.openxmlformats.org/officeDocument/2006/relationships/externalLink" Target="externalLinks/externalLink160.xml"/><Relationship Id="rId162" Type="http://schemas.openxmlformats.org/officeDocument/2006/relationships/externalLink" Target="externalLinks/externalLink159.xml"/><Relationship Id="rId161" Type="http://schemas.openxmlformats.org/officeDocument/2006/relationships/externalLink" Target="externalLinks/externalLink158.xml"/><Relationship Id="rId160" Type="http://schemas.openxmlformats.org/officeDocument/2006/relationships/externalLink" Target="externalLinks/externalLink157.xml"/><Relationship Id="rId16" Type="http://schemas.openxmlformats.org/officeDocument/2006/relationships/externalLink" Target="externalLinks/externalLink13.xml"/><Relationship Id="rId159" Type="http://schemas.openxmlformats.org/officeDocument/2006/relationships/externalLink" Target="externalLinks/externalLink156.xml"/><Relationship Id="rId158" Type="http://schemas.openxmlformats.org/officeDocument/2006/relationships/externalLink" Target="externalLinks/externalLink155.xml"/><Relationship Id="rId157" Type="http://schemas.openxmlformats.org/officeDocument/2006/relationships/externalLink" Target="externalLinks/externalLink154.xml"/><Relationship Id="rId156" Type="http://schemas.openxmlformats.org/officeDocument/2006/relationships/externalLink" Target="externalLinks/externalLink153.xml"/><Relationship Id="rId155" Type="http://schemas.openxmlformats.org/officeDocument/2006/relationships/externalLink" Target="externalLinks/externalLink152.xml"/><Relationship Id="rId154" Type="http://schemas.openxmlformats.org/officeDocument/2006/relationships/externalLink" Target="externalLinks/externalLink151.xml"/><Relationship Id="rId153" Type="http://schemas.openxmlformats.org/officeDocument/2006/relationships/externalLink" Target="externalLinks/externalLink150.xml"/><Relationship Id="rId152" Type="http://schemas.openxmlformats.org/officeDocument/2006/relationships/externalLink" Target="externalLinks/externalLink149.xml"/><Relationship Id="rId151" Type="http://schemas.openxmlformats.org/officeDocument/2006/relationships/externalLink" Target="externalLinks/externalLink148.xml"/><Relationship Id="rId150" Type="http://schemas.openxmlformats.org/officeDocument/2006/relationships/externalLink" Target="externalLinks/externalLink147.xml"/><Relationship Id="rId15" Type="http://schemas.openxmlformats.org/officeDocument/2006/relationships/externalLink" Target="externalLinks/externalLink12.xml"/><Relationship Id="rId149" Type="http://schemas.openxmlformats.org/officeDocument/2006/relationships/externalLink" Target="externalLinks/externalLink146.xml"/><Relationship Id="rId148" Type="http://schemas.openxmlformats.org/officeDocument/2006/relationships/externalLink" Target="externalLinks/externalLink145.xml"/><Relationship Id="rId147" Type="http://schemas.openxmlformats.org/officeDocument/2006/relationships/externalLink" Target="externalLinks/externalLink144.xml"/><Relationship Id="rId146" Type="http://schemas.openxmlformats.org/officeDocument/2006/relationships/externalLink" Target="externalLinks/externalLink143.xml"/><Relationship Id="rId145" Type="http://schemas.openxmlformats.org/officeDocument/2006/relationships/externalLink" Target="externalLinks/externalLink142.xml"/><Relationship Id="rId144" Type="http://schemas.openxmlformats.org/officeDocument/2006/relationships/externalLink" Target="externalLinks/externalLink141.xml"/><Relationship Id="rId143" Type="http://schemas.openxmlformats.org/officeDocument/2006/relationships/externalLink" Target="externalLinks/externalLink140.xml"/><Relationship Id="rId142" Type="http://schemas.openxmlformats.org/officeDocument/2006/relationships/externalLink" Target="externalLinks/externalLink139.xml"/><Relationship Id="rId141" Type="http://schemas.openxmlformats.org/officeDocument/2006/relationships/externalLink" Target="externalLinks/externalLink138.xml"/><Relationship Id="rId140" Type="http://schemas.openxmlformats.org/officeDocument/2006/relationships/externalLink" Target="externalLinks/externalLink137.xml"/><Relationship Id="rId14" Type="http://schemas.openxmlformats.org/officeDocument/2006/relationships/externalLink" Target="externalLinks/externalLink11.xml"/><Relationship Id="rId139" Type="http://schemas.openxmlformats.org/officeDocument/2006/relationships/externalLink" Target="externalLinks/externalLink136.xml"/><Relationship Id="rId138" Type="http://schemas.openxmlformats.org/officeDocument/2006/relationships/externalLink" Target="externalLinks/externalLink135.xml"/><Relationship Id="rId137" Type="http://schemas.openxmlformats.org/officeDocument/2006/relationships/externalLink" Target="externalLinks/externalLink134.xml"/><Relationship Id="rId136" Type="http://schemas.openxmlformats.org/officeDocument/2006/relationships/externalLink" Target="externalLinks/externalLink133.xml"/><Relationship Id="rId135" Type="http://schemas.openxmlformats.org/officeDocument/2006/relationships/externalLink" Target="externalLinks/externalLink132.xml"/><Relationship Id="rId134" Type="http://schemas.openxmlformats.org/officeDocument/2006/relationships/externalLink" Target="externalLinks/externalLink131.xml"/><Relationship Id="rId133" Type="http://schemas.openxmlformats.org/officeDocument/2006/relationships/externalLink" Target="externalLinks/externalLink130.xml"/><Relationship Id="rId132" Type="http://schemas.openxmlformats.org/officeDocument/2006/relationships/externalLink" Target="externalLinks/externalLink129.xml"/><Relationship Id="rId131" Type="http://schemas.openxmlformats.org/officeDocument/2006/relationships/externalLink" Target="externalLinks/externalLink128.xml"/><Relationship Id="rId130" Type="http://schemas.openxmlformats.org/officeDocument/2006/relationships/externalLink" Target="externalLinks/externalLink127.xml"/><Relationship Id="rId13" Type="http://schemas.openxmlformats.org/officeDocument/2006/relationships/externalLink" Target="externalLinks/externalLink10.xml"/><Relationship Id="rId129" Type="http://schemas.openxmlformats.org/officeDocument/2006/relationships/externalLink" Target="externalLinks/externalLink126.xml"/><Relationship Id="rId128" Type="http://schemas.openxmlformats.org/officeDocument/2006/relationships/externalLink" Target="externalLinks/externalLink125.xml"/><Relationship Id="rId127" Type="http://schemas.openxmlformats.org/officeDocument/2006/relationships/externalLink" Target="externalLinks/externalLink124.xml"/><Relationship Id="rId126" Type="http://schemas.openxmlformats.org/officeDocument/2006/relationships/externalLink" Target="externalLinks/externalLink123.xml"/><Relationship Id="rId125" Type="http://schemas.openxmlformats.org/officeDocument/2006/relationships/externalLink" Target="externalLinks/externalLink122.xml"/><Relationship Id="rId124" Type="http://schemas.openxmlformats.org/officeDocument/2006/relationships/externalLink" Target="externalLinks/externalLink121.xml"/><Relationship Id="rId123" Type="http://schemas.openxmlformats.org/officeDocument/2006/relationships/externalLink" Target="externalLinks/externalLink120.xml"/><Relationship Id="rId122" Type="http://schemas.openxmlformats.org/officeDocument/2006/relationships/externalLink" Target="externalLinks/externalLink119.xml"/><Relationship Id="rId121" Type="http://schemas.openxmlformats.org/officeDocument/2006/relationships/externalLink" Target="externalLinks/externalLink118.xml"/><Relationship Id="rId120" Type="http://schemas.openxmlformats.org/officeDocument/2006/relationships/externalLink" Target="externalLinks/externalLink117.xml"/><Relationship Id="rId12" Type="http://schemas.openxmlformats.org/officeDocument/2006/relationships/externalLink" Target="externalLinks/externalLink9.xml"/><Relationship Id="rId119" Type="http://schemas.openxmlformats.org/officeDocument/2006/relationships/externalLink" Target="externalLinks/externalLink116.xml"/><Relationship Id="rId118" Type="http://schemas.openxmlformats.org/officeDocument/2006/relationships/externalLink" Target="externalLinks/externalLink115.xml"/><Relationship Id="rId117" Type="http://schemas.openxmlformats.org/officeDocument/2006/relationships/externalLink" Target="externalLinks/externalLink114.xml"/><Relationship Id="rId116" Type="http://schemas.openxmlformats.org/officeDocument/2006/relationships/externalLink" Target="externalLinks/externalLink113.xml"/><Relationship Id="rId115" Type="http://schemas.openxmlformats.org/officeDocument/2006/relationships/externalLink" Target="externalLinks/externalLink112.xml"/><Relationship Id="rId114" Type="http://schemas.openxmlformats.org/officeDocument/2006/relationships/externalLink" Target="externalLinks/externalLink111.xml"/><Relationship Id="rId113" Type="http://schemas.openxmlformats.org/officeDocument/2006/relationships/externalLink" Target="externalLinks/externalLink110.xml"/><Relationship Id="rId112" Type="http://schemas.openxmlformats.org/officeDocument/2006/relationships/externalLink" Target="externalLinks/externalLink109.xml"/><Relationship Id="rId111" Type="http://schemas.openxmlformats.org/officeDocument/2006/relationships/externalLink" Target="externalLinks/externalLink108.xml"/><Relationship Id="rId110" Type="http://schemas.openxmlformats.org/officeDocument/2006/relationships/externalLink" Target="externalLinks/externalLink107.xml"/><Relationship Id="rId11" Type="http://schemas.openxmlformats.org/officeDocument/2006/relationships/externalLink" Target="externalLinks/externalLink8.xml"/><Relationship Id="rId109" Type="http://schemas.openxmlformats.org/officeDocument/2006/relationships/externalLink" Target="externalLinks/externalLink106.xml"/><Relationship Id="rId108" Type="http://schemas.openxmlformats.org/officeDocument/2006/relationships/externalLink" Target="externalLinks/externalLink105.xml"/><Relationship Id="rId107" Type="http://schemas.openxmlformats.org/officeDocument/2006/relationships/externalLink" Target="externalLinks/externalLink104.xml"/><Relationship Id="rId106" Type="http://schemas.openxmlformats.org/officeDocument/2006/relationships/externalLink" Target="externalLinks/externalLink103.xml"/><Relationship Id="rId105" Type="http://schemas.openxmlformats.org/officeDocument/2006/relationships/externalLink" Target="externalLinks/externalLink102.xml"/><Relationship Id="rId104" Type="http://schemas.openxmlformats.org/officeDocument/2006/relationships/externalLink" Target="externalLinks/externalLink101.xml"/><Relationship Id="rId103" Type="http://schemas.openxmlformats.org/officeDocument/2006/relationships/externalLink" Target="externalLinks/externalLink100.xml"/><Relationship Id="rId102" Type="http://schemas.openxmlformats.org/officeDocument/2006/relationships/externalLink" Target="externalLinks/externalLink99.xml"/><Relationship Id="rId101" Type="http://schemas.openxmlformats.org/officeDocument/2006/relationships/externalLink" Target="externalLinks/externalLink98.xml"/><Relationship Id="rId100" Type="http://schemas.openxmlformats.org/officeDocument/2006/relationships/externalLink" Target="externalLinks/externalLink97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35&#20811;&#22307;&#32463;&#32440;780&#21367;&#3157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70&#20811;&#26412;&#30333;&#32440;787&#21367;&#31570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0122;&#27888;&#38745;&#30005;&#32440;125&#20811;800&#24179;&#26495;1092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0122;&#27888;&#38745;&#30005;&#32440;125&#20811;1092&#21367;&#31570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0122;&#27888;&#21452;&#33014;&#32440;110&#20811;889&#24179;&#26495;1194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0122;&#22826;&#26412;&#30333;&#32440;68&#20811;889&#24179;&#26495;1194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0122;&#22826;&#26412;&#30333;&#32440;78&#20811;889&#21367;&#31570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1&#21495;&#26426;550&#21367;&#31570;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1&#21495;&#26426;550&#24179;&#26495;787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1&#21495;&#26426;770&#24179;&#26495;1092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8&#21495;&#26426;82&#24230;780&#21367;&#31570;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8&#21495;&#26426;82&#24230;787&#24179;&#26495;109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70&#20811;&#26412;&#30333;&#32440;787&#24179;&#26495;1092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8&#21495;&#26426;82&#24230;880&#21367;&#31570;%20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10&#21495;&#26426;82&#24230;550&#24179;&#26495;770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10&#21495;&#26426;82&#24230;770&#24179;&#26495;1092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10&#21495;&#26426;82&#24230;880&#21367;&#31570;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5&#20811;10&#21495;&#26426;82&#24230;880&#24179;&#26495;1260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8&#20811;1&#21495;&#26426;800&#24179;&#26495;1092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8&#20811;8&#21495;&#26426;82&#24230;870&#24179;&#26495;1194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58&#20811;10&#21495;&#26426;82&#24230;550&#24179;&#26495;770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8&#21495;&#26426;82&#24230;820&#24179;&#26495;1092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8&#21495;&#26426;82&#24230;870&#21367;&#31570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&#26412;&#30333;&#32440;58&#20811;770&#21367;&#31570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8&#21495;&#26426;82&#24230;870&#24179;&#26495;1194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8&#21495;&#26426;82&#24230;870&#24179;&#26495;1230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9&#21495;&#26426;82&#24230;550&#21367;&#31570;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9&#21495;&#26426;82&#24230;550&#24179;&#26495;770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9&#21495;&#26426;82&#24230;550&#24179;&#26495;787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9&#21495;&#26426;82&#24230;550&#24179;&#26495;790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10&#21495;&#26426;82&#24230;550&#24179;&#26495;770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0&#20811;10&#21495;&#26426;82&#24230;880&#24179;&#26495;1230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65&#20811;8&#21495;&#26426;84&#24230;889&#24179;&#26495;1194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3&#21495;&#26426;82&#24230;550&#24179;&#26495;78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&#26412;&#30333;&#32440;58&#20811;787&#21367;&#31570;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3&#21495;&#26426;82&#24230;770&#21367;&#31570;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3&#21495;&#26426;85&#24230;889&#24179;&#26495;1194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8&#21495;&#26426;82&#24230;787&#21367;&#31570;.xlsx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8&#21495;&#26426;82&#24230;787&#24179;&#26495;1092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8&#21495;&#26426;82&#24230;870&#24179;&#26495;1194.xlsx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8&#21495;&#26426;82&#24230;889&#24179;&#26495;1194.xlsx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8&#21495;&#26426;82&#24230;890&#21367;&#31570;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8&#21495;&#26426;85&#24230;770&#21367;&#31570;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10&#21495;&#26426;85&#24230;650&#21367;&#31570;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10&#21495;&#26426;85&#24230;770&#21367;&#3157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&#26412;&#30333;&#32440;68&#20811;787&#21367;&#31570;.xlsx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10&#21495;&#26426;85&#24230;770&#24179;&#26495;1092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10&#21495;&#26426;85&#24230;800&#21367;&#31570;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10&#21495;&#26426;85&#24230;800&#24179;&#26495;1092.xlsx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0&#20811;10&#21495;&#26426;85&#24230;890&#21367;&#31570;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5&#20811;8&#21495;&#26426;82&#24230;880&#21367;&#31570;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78&#20811;3&#21495;&#26426;85&#24230;880&#24179;&#26495;1194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2&#24230;780&#21367;&#31570;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2&#24230;787&#24179;&#26495;1092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2&#24230;870&#21367;&#31570;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2&#24230;880&#21367;&#3157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&#26412;&#30333;&#32440;68&#20811;787&#24179;&#26495;1092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2&#24230;889&#24179;&#26495;1194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5&#24230;550&#24179;&#26495;787.xlsx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5&#24230;780&#24179;&#26495;1092.xlsx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5&#24230;787&#21367;&#31570;.xlsx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5&#24230;787&#24179;&#26495;1092.xlsx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5&#24230;800&#24179;&#26495;1092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5&#24230;880&#21367;&#31570;.xlsx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3&#21495;&#26426;85&#24230;890&#24179;&#26495;1194.xlsx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2&#24230;770&#21367;&#31570;.xlsx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2&#24230;780&#21367;&#3157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&#26412;&#30333;&#32440;68&#20811;880&#24179;&#26495;1194.xlsx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2&#24230;787&#21367;&#31570;.xlsx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2&#24230;787&#24179;&#26495;1092.xlsx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2&#24230;870&#21367;&#31570;.xlsx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2&#24230;870&#24179;&#26495;1194.xlsx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2&#24230;880&#24179;&#26495;1194.xlsx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8&#21495;&#26426;85&#24230;890&#24179;&#26495;1194.xlsx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9&#21495;&#26426;82&#24230;787&#21367;&#31570;.xlsx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9&#21495;&#26426;85&#24230;550&#21367;&#31570;.xlsx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10&#21495;&#26426;85&#24230;550&#21367;&#31570;.xlsx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10&#21495;&#26426;85&#24230;550&#24179;&#26495;78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&#26412;&#30333;&#32440;68&#20811;889&#21367;&#31570;.xlsx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10&#21495;&#26426;85&#24230;787&#24179;&#26495;1092.xlsx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80&#20811;10&#21495;&#26426;85&#24230;880&#24179;&#26495;1194.xlsx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&#39135;&#21697;&#21253;&#35013;&#32440;70&#20811;800&#24179;&#26495;1092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6412;&#30333;&#32440;&#39135;&#21697;&#32440;70&#20811;3&#21495;&#26426;76&#24230;880&#24179;&#26495;1194.xlsx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2797;&#21512;&#33014;&#29256;&#32440;65&#20811;890&#24179;&#26495;1194.xlsx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2797;&#21512;&#32440;65&#20811;800&#24179;&#26495;1092.xlsx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2797;&#21512;&#32440;65&#20811;870&#21644;800&#21367;&#31570;.xlsx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58&#20811;787&#21367;&#31570;.xlsx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58&#20811;860&#21367;&#31570;.xlsx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62&#20811;850&#21367;&#3157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&#26412;&#30333;&#32440;68&#20811;889&#24179;&#26495;1194.xlsx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64&#20811;787&#21367;&#31570;.xlsx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64&#20811;860&#21367;&#31570;.xlsx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64&#20811;870&#21367;&#31570;.xlsx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64&#20811;880&#24179;&#26495;1230.xlsx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68&#20811;787&#21367;&#31570;.xlsx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68&#20811;889&#21367;&#31570;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70&#20811;780&#21367;&#31570;.xlsx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70&#20811;787&#21367;&#31570;.xlsx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70&#20811;787&#24179;&#26495;1000.xlsx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70&#20811;787&#24179;&#26495;109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8634;&#26494;&#36731;&#22411;&#32440;60&#20811;770&#21367;&#31570;.xlsx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70&#20811;787&#24179;&#26495;1160.xlsx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79&#20811;880&#21367;&#31570;.xlsx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80&#20811;787&#21367;&#31570;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80&#20811;787&#24179;&#26495;1092.xlsx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80&#20811;880&#21367;&#31570;.xlsx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80&#20811;880&#24179;&#26495;1194.xlsx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80&#20811;889&#21367;&#31570;.xlsx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8034;&#32440;80&#20811;889&#24179;&#26495;1194.xlsx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&#21495;&#26426;60&#20811;800&#24179;&#26495;1092.xlsx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&#21495;&#26426;60&#20811;880&#21367;&#3157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45&#20811;&#26032;&#38395;&#32440;781&#21367;&#3157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8634;&#26494;&#36731;&#22411;&#32440;60&#20811;787&#21367;&#31570;.xlsx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&#21495;&#26426;70&#20811;787&#24179;&#26495;1092.xlsx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&#21495;&#26426;80&#20811;800&#24179;&#26495;1092.xlsx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&#21495;&#26426;80&#20811;889&#24179;&#26495;1194.xlsx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58&#20811;10&#21495;&#26426;870&#21367;&#31570;.xlsx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58&#20811;10&#21495;&#26426;889&#24179;&#26495;1194.xlsx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58&#20811;10&#21495;&#26426;1000&#21367;&#31570;.xlsx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58&#20811;10&#21495;&#26426;1000&#24179;&#26495;720.xlsx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58&#20811;1092&#24179;&#26495;787.xlsx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0&#20811;10&#21495;&#26426;81&#24230;770&#21367;&#31570;.xlsx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0&#20811;10&#21495;&#26426;720&#21367;&#3157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35961;&#21452;&#33014;&#32440;58&#20811;720&#21367;&#31570;.xlsx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0&#20811;10&#21495;&#26426;720&#24179;&#26495;1000.xlsx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0&#20811;10&#21495;&#26426;787&#24179;&#26495;1092.xlsx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0&#20811;10&#21495;&#26426;850&#24179;&#26495;1168.xlsx" TargetMode="External"/></Relationships>
</file>

<file path=xl/externalLinks/_rels/externalLink2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0&#20811;10&#21495;&#26426;889&#24179;&#26495;1194.xlsx" TargetMode="External"/></Relationships>
</file>

<file path=xl/externalLinks/_rels/externalLink2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0&#20811;890&#24179;&#26495;1194.xlsx" TargetMode="External"/></Relationships>
</file>

<file path=xl/externalLinks/_rels/externalLink2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7&#24230;720&#21367;&#31570;.xlsx" TargetMode="External"/></Relationships>
</file>

<file path=xl/externalLinks/_rels/externalLink2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7&#24230;720&#24179;1000.xlsx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7&#24230;787&#21367;&#31570;.xlsx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7&#24230;787&#24179;&#26495;1092.xlsx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7&#24230;889&#21367;&#3157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35961;&#21452;&#33014;&#32440;58&#20811;720&#24179;&#26495;1000.xlsx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7&#24230;889&#24179;&#26495;1194.xlsx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8&#24230;700&#21367;&#31570;.xlsx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8&#24230;700&#24179;&#26495;1000.xlsx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8&#24230;1000&#21367;&#31570;.xlsx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65&#20811;2&#21495;&#26426;78&#24230;1000&#24179;&#26495;720.xlsx" TargetMode="External"/></Relationships>
</file>

<file path=xl/externalLinks/_rels/externalLink2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0&#20811;710&#24179;&#26495;1000.xlsx" TargetMode="External"/></Relationships>
</file>

<file path=xl/externalLinks/_rels/externalLink2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0&#20811;710&#24179;&#26495;1005.xlsx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720&#21367;&#31570;.xlsx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720&#24179;&#26495;1000.xlsx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787&#21367;&#3157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35961;&#21452;&#33014;&#32440;58&#20811;870&#24179;&#26495;1194.xlsx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787&#24179;&#26495;1092.xlsx" TargetMode="External"/></Relationships>
</file>

<file path=xl/externalLinks/_rels/externalLink2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889&#21367;&#31570;%20.xlsx" TargetMode="External"/></Relationships>
</file>

<file path=xl/externalLinks/_rels/externalLink2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889&#24179;&#26495;1194.xlsx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1000&#21367;&#31570;.xlsx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5&#20811;2&#21495;&#26426;77&#24230;1000&#24179;&#26495;720.xlsx" TargetMode="External"/></Relationships>
</file>

<file path=xl/externalLinks/_rels/externalLink2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8&#20811;2&#21495;&#26426;787&#21367;&#31570;.xlsx" TargetMode="External"/></Relationships>
</file>

<file path=xl/externalLinks/_rels/externalLink2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78&#20811;2&#21495;&#26426;990&#21367;&#31570;.xlsx" TargetMode="External"/></Relationships>
</file>

<file path=xl/externalLinks/_rels/externalLink2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80&#20811;2&#21495;&#26426;889&#21367;&#31570;.xlsx" TargetMode="External"/></Relationships>
</file>

<file path=xl/externalLinks/_rels/externalLink2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80&#20811;2&#21495;&#26426;889&#24179;&#26495;1194.xlsx" TargetMode="External"/></Relationships>
</file>

<file path=xl/externalLinks/_rels/externalLink2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85&#20811;2&#21495;&#26426;889&#21367;&#3157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35961;&#21452;&#33014;&#32440;58&#20811;889&#24179;&#26495;1194.xlsx" TargetMode="External"/></Relationships>
</file>

<file path=xl/externalLinks/_rels/externalLink2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85&#20811;2&#21495;&#26426;889&#24179;&#26495;1194.xlsx" TargetMode="External"/></Relationships>
</file>

<file path=xl/externalLinks/_rels/externalLink2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5&#20811;2&#21495;&#26426;787&#21367;&#31570;.xlsx" TargetMode="External"/></Relationships>
</file>

<file path=xl/externalLinks/_rels/externalLink2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5&#20811;2&#21495;&#26426;787&#24179;&#26495;1092.xlsx" TargetMode="External"/></Relationships>
</file>

<file path=xl/externalLinks/_rels/externalLink2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5&#20811;2&#21495;&#26426;889&#21367;&#31570;.xlsx" TargetMode="External"/></Relationships>
</file>

<file path=xl/externalLinks/_rels/externalLink2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95&#20811;2&#21495;&#26426;889&#24179;&#26495;1194.xlsx" TargetMode="External"/></Relationships>
</file>

<file path=xl/externalLinks/_rels/externalLink2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B&#65288;&#36827;&#21475;&#65289;60&#20811;635&#21367;&#31570;.xlsx" TargetMode="External"/></Relationships>
</file>

<file path=xl/externalLinks/_rels/externalLink2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B&#65288;&#36827;&#21475;&#65289;60&#20811;635&#24179;&#26495;920.xlsx" TargetMode="External"/></Relationships>
</file>

<file path=xl/externalLinks/_rels/externalLink2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&#65288;&#33452;&#20848;&#65289;70&#20811;790&#21367;&#31570;.xlsx" TargetMode="External"/></Relationships>
</file>

<file path=xl/externalLinks/_rels/externalLink2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&#65288;&#33452;&#20848;&#65289;70&#20811;890&#21367;&#31570;.xlsx" TargetMode="External"/></Relationships>
</file>

<file path=xl/externalLinks/_rels/externalLink2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&#65288;&#33452;&#20848;&#65289;70&#20811;890&#24179;&#26495;119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40548;&#26412;&#30333;&#32440;60&#20811;880&#24179;&#26495;1230.xlsx" TargetMode="External"/></Relationships>
</file>

<file path=xl/externalLinks/_rels/externalLink2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&#65288;&#25386;&#23041;&#65289;60&#20811;787&#21367;&#31570;.xlsx" TargetMode="External"/></Relationships>
</file>

<file path=xl/externalLinks/_rels/externalLink2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&#65288;&#25386;&#23041;&#65289;60&#20811;787&#24179;&#26495;1092.xlsx" TargetMode="External"/></Relationships>
</file>

<file path=xl/externalLinks/_rels/externalLink2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&#65288;&#25386;&#23041;&#65289;70&#20811;787&#21367;&#31570;.xlsx" TargetMode="External"/></Relationships>
</file>

<file path=xl/externalLinks/_rels/externalLink2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6731;&#22411;&#32440;&#65288;&#25386;&#23041;&#65289;80&#20811;787&#21367;&#31570;.xlsx" TargetMode="External"/></Relationships>
</file>

<file path=xl/externalLinks/_rels/externalLink2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0840;&#26408;&#27974;&#21452;&#33014;&#32440;58&#20811;787&#24179;&#26495;1092.xlsx" TargetMode="External"/></Relationships>
</file>

<file path=xl/externalLinks/_rels/externalLink2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0840;&#26408;&#27974;&#21452;&#33014;&#32440;58&#20811;889&#24179;&#26495;1194.xlsx" TargetMode="External"/></Relationships>
</file>

<file path=xl/externalLinks/_rels/externalLink2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0840;&#26408;&#27974;&#21452;&#33014;&#32440;65&#20811;787&#24179;&#26495;1092.xlsx" TargetMode="External"/></Relationships>
</file>

<file path=xl/externalLinks/_rels/externalLink2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0840;&#26408;&#27974;&#21452;&#33014;&#32440;73&#20811;787&#21367;&#31570;.xlsx" TargetMode="External"/></Relationships>
</file>

<file path=xl/externalLinks/_rels/externalLink2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0840;&#26408;&#27974;&#21452;&#33014;&#32440;73&#20811;889&#24179;&#26495;1194.xlsx" TargetMode="External"/></Relationships>
</file>

<file path=xl/externalLinks/_rels/externalLink2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0840;&#26408;&#27974;&#21452;&#33014;&#32440;75&#20811;889&#24179;&#26495;119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40548;&#27721;&#38451;&#26412;&#30333;&#32440;65&#20811;787&#24179;&#26495;1092.xlsx" TargetMode="External"/></Relationships>
</file>

<file path=xl/externalLinks/_rels/externalLink2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0840;&#26408;&#27974;&#21452;&#33014;&#32440;100&#20811;780&#24179;&#26495;1092.xlsx" TargetMode="External"/></Relationships>
</file>

<file path=xl/externalLinks/_rels/externalLink2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58&#20811;720&#24179;&#26495;1000.xlsx" TargetMode="External"/></Relationships>
</file>

<file path=xl/externalLinks/_rels/externalLink2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58&#20811;787&#24179;&#26495;1092.xlsx" TargetMode="External"/></Relationships>
</file>

<file path=xl/externalLinks/_rels/externalLink2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58&#20811;889&#24179;&#26495;1230.xlsx" TargetMode="External"/></Relationships>
</file>

<file path=xl/externalLinks/_rels/externalLink2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75&#20811;787&#24179;&#26495;1092.xlsx" TargetMode="External"/></Relationships>
</file>

<file path=xl/externalLinks/_rels/externalLink2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118&#20811;800&#24179;&#26495;1092.xlsx" TargetMode="External"/></Relationships>
</file>

<file path=xl/externalLinks/_rels/externalLink2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118&#20811;889&#21644;800&#21367;&#31570;.xlsx" TargetMode="External"/></Relationships>
</file>

<file path=xl/externalLinks/_rels/externalLink2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&#65288;&#36890;&#21147;&#65289;65&#20811;787&#21367;&#31570;.xlsx" TargetMode="External"/></Relationships>
</file>

<file path=xl/externalLinks/_rels/externalLink2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&#65288;&#36890;&#21147;&#65289;65&#20811;787&#24179;&#26495;1092.xlsx" TargetMode="External"/></Relationships>
</file>

<file path=xl/externalLinks/_rels/externalLink2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&#65288;&#36890;&#21147;&#65289;65&#20811;889&#21367;&#31570;%20-%20&#22797;&#21367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40548;&#27721;&#38451;&#26412;&#30333;&#32440;70&#20811;787&#24179;&#26495;1092.xlsx" TargetMode="External"/></Relationships>
</file>

<file path=xl/externalLinks/_rels/externalLink2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&#65288;&#36890;&#21147;&#65289;65&#20811;889&#21367;&#31570;.xlsx" TargetMode="External"/></Relationships>
</file>

<file path=xl/externalLinks/_rels/externalLink2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&#65288;&#36890;&#21147;&#65289;65&#20811;889&#24179;&#26495;1194.xlsx" TargetMode="External"/></Relationships>
</file>

<file path=xl/externalLinks/_rels/externalLink2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&#65288;&#36890;&#21147;&#65289;75&#20811;889&#21367;&#31570;.xlsx" TargetMode="External"/></Relationships>
</file>

<file path=xl/externalLinks/_rels/externalLink2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1452;&#33014;&#32440;&#65288;&#36890;&#21147;&#65289;75&#20811;889&#24179;&#26495;1194.xlsx" TargetMode="External"/></Relationships>
</file>

<file path=xl/externalLinks/_rels/externalLink2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8108;&#29256;&#21407;&#32440;52&#20811;896&#24179;&#26495;1194.xlsx" TargetMode="External"/></Relationships>
</file>

<file path=xl/externalLinks/_rels/externalLink2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8034;&#24067;&#32431;&#36136;&#32440;80&#20811;787&#21367;&#31570;.xlsx" TargetMode="External"/></Relationships>
</file>

<file path=xl/externalLinks/_rels/externalLink2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8034;&#24067;&#32431;&#36136;&#32440;80&#20811;889&#21367;&#31570;.xlsx" TargetMode="External"/></Relationships>
</file>

<file path=xl/externalLinks/_rels/externalLink2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8034;&#24067;&#32431;&#36136;&#32440;80&#20811;889&#24179;&#26495;1194.xlsx" TargetMode="External"/></Relationships>
</file>

<file path=xl/externalLinks/_rels/externalLink2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28034;&#24067;&#32431;&#36136;&#32440;80&#20811;889&#24179;&#26495;1230.xlsx" TargetMode="External"/></Relationships>
</file>

<file path=xl/externalLinks/_rels/externalLink2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731;&#38451;&#38136;&#28034;&#21407;&#32440;52&#20811;1190&#24179;&#26495;88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20113;&#29422;&#21407;&#30333;&#21452;&#33014;&#32440;58&#20811;720&#21367;&#31570;.xlsx" TargetMode="External"/></Relationships>
</file>

<file path=xl/externalLinks/_rels/externalLink2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7781;&#27743;&#26412;&#30333;&#32440;57&#20811;770&#24179;&#26495;109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0355;&#29577;&#21452;&#33014;&#32440;58&#20811;889&#24179;&#26495;119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45&#20811;&#26032;&#38395;&#32440;781&#24179;&#26495;109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58&#20811;720&#24179;&#26495;100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58&#20811;787&#21367;&#3157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58&#20811;787&#24179;&#26495;109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58&#20811;870&#24179;&#26495;119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58&#20811;889&#24179;&#26495;119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58&#20811;889&#24179;&#26495;123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65&#20811;720&#21367;&#31570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65&#20811;720&#24179;&#26495;100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65&#20811;787&#24179;&#26495;109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65&#20811;889&#24179;&#26495;119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45&#20811;&#26032;&#38395;&#32440;850&#21367;&#3157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68&#20811;889&#24179;&#26495;1194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68&#20811;900&#24179;&#26495;119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75&#20811;787&#24179;&#26495;109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78&#20811;787&#21367;&#3157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78&#20811;787&#24179;&#26495;109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320;&#40857;&#21452;&#33014;&#32440;78&#20811;889&#24179;&#26495;123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7861;&#22269;&#36731;&#28034;&#32440;65&#20811;787&#24179;&#26495;1092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7861;&#22269;&#36731;&#28034;&#32440;70&#20811;787&#21367;&#31570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7861;&#22269;&#36731;&#28034;&#32440;70&#20811;800&#21367;&#31570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7861;&#22269;&#36731;&#28034;&#32440;70&#20811;889&#24179;&#26495;119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45&#20811;&#26032;&#38395;&#32440;850&#24179;&#26495;1168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1326;&#22438;&#26412;&#30333;&#32440;55&#20811;770&#21367;&#3157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1326;&#22438;&#26412;&#30333;&#32440;55&#20811;870&#21367;&#31570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1326;&#22438;&#26412;&#30333;&#32440;55&#20811;870&#24179;&#26495;1194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1326;&#22438;&#26412;&#30333;&#32440;55&#20811;889&#21367;&#31570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1326;&#22438;&#26412;&#30333;&#32440;55&#20811;889&#24179;&#26495;1194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1326;&#22438;&#26412;&#30333;&#32440;80&#20811;870&#24179;&#26495;112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4314;&#20449;&#36731;&#22411;&#32440;75&#20811;710&#24179;&#26495;1000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55&#20811;720&#24179;&#26495;1000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55&#20811;770&#24179;&#26495;1092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74&#20811;857&#24179;&#26495;109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48&#20811;&#26032;&#38395;&#32440;781&#24179;&#26495;1092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84&#20811;889&#21367;&#31570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84&#20811;889&#24179;&#26495;1194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90&#20811;787&#24179;&#26495;1030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110&#20811;720&#24179;&#26495;990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110&#20811;800&#24179;&#26495;1092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110&#20811;889&#24179;&#26495;1194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37329;&#38451;&#21452;&#33014;&#32440;110&#20811;925&#21367;&#31570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3665;&#19996;&#24503;&#24030;&#21326;&#21271;&#36731;&#22411;&#32440;58&#20811;889&#24179;&#26495;1194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55&#20811;870&#24179;&#26495;1194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55&#20811;889&#24179;&#26495;119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50&#20811;&#23383;&#20856;&#32440;787&#21367;&#31570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58&#20811;720&#24179;&#26495;1000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58&#20811;787&#24179;&#26495;1092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65&#20811;787&#24179;&#26495;109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65&#20811;889&#21367;&#31570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65&#20811;889&#24179;&#26495;1194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68&#20811;880&#21367;&#31570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68&#20811;889&#24179;&#26495;1194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75&#20811;787&#21367;&#31570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75&#20811;787&#24179;&#26495;1092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75&#20811;889&#21367;&#3157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60&#20811;&#26412;&#30333;&#32440;880&#24179;&#26495;1194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75&#20811;889&#24179;&#26495;1194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26412;&#30333;&#32440;78&#20811;787&#24179;&#26495;1092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58&#20811;889&#21367;&#31570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58&#20811;889&#24179;&#26495;1194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720&#21367;&#31570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787&#21367;&#31570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787&#24179;&#26495;1092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889&#21367;&#31570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889&#24179;&#26495;990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889&#24179;&#26495;119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6216;&#40483;&#35768;&#26124;68&#20811;&#26412;&#30333;&#32440;787&#21367;&#31570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1000&#21367;&#31570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65&#20811;1000&#24179;&#26495;720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75&#20811;787&#24179;&#26495;1092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75&#20811;889&#21367;&#31570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75&#20811;889&#24179;&#26495;990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75&#20811;889&#24179;&#26495;1194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93&#20811;787&#24179;&#26495;1092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95&#20811;889&#21367;&#31570;%20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2826;&#38451;&#36731;&#22411;&#32440;95&#20811;889&#24179;&#26495;1194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CloudEnterprise\Cache\3069943771\15337829712401221\&#24314;&#25991;&#32440;&#19994;\&#20122;&#27888;&#38745;&#30005;&#32440;85&#20811;1092&#24179;&#26495;78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H9">
            <v>0.269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2.149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亚泰125克静电纸800*1092</v>
          </cell>
        </row>
        <row r="14">
          <cell r="E14">
            <v>17.54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亚泰125克静电纸1092卷筒</v>
          </cell>
        </row>
        <row r="5">
          <cell r="H5">
            <v>8.736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20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亚太本白纸68克889*1194平板</v>
          </cell>
        </row>
        <row r="17">
          <cell r="E17">
            <v>35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亚太本白纸78克889卷筒</v>
          </cell>
        </row>
        <row r="5">
          <cell r="H5">
            <v>2.254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8.186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E18">
            <v>93.7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0.545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岳阳本白纸55克8号机82度787*1092平板</v>
          </cell>
        </row>
        <row r="13">
          <cell r="E13">
            <v>12.7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E8">
            <v>12.5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H8">
            <v>0.505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岳阳本白纸55克10号机82度550*770平板</v>
          </cell>
        </row>
        <row r="20">
          <cell r="E20">
            <v>318.3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E8">
            <v>25.7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岳阳本白纸55克10号机82度880卷筒</v>
          </cell>
        </row>
        <row r="4">
          <cell r="H4">
            <v>0.643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岳阳本白纸55克10号机82度880*1260平板</v>
          </cell>
        </row>
        <row r="6">
          <cell r="E6">
            <v>909.5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岳阳本白纸58克1号机800*1092平板</v>
          </cell>
        </row>
        <row r="7">
          <cell r="E7">
            <v>101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岳阳58克8号机本白纸870*1194平板</v>
          </cell>
        </row>
        <row r="13">
          <cell r="E13">
            <v>15.8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岳阳本白纸58克10号机550*770平板</v>
          </cell>
        </row>
        <row r="14">
          <cell r="E14">
            <v>2.3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岳阳本白纸60克8号机82度820*1092平板</v>
          </cell>
        </row>
        <row r="5">
          <cell r="E5">
            <v>16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10.681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7">
          <cell r="H27">
            <v>19.405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E16">
            <v>16.2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岳阳本白纸60克8号机82度870*1230平板</v>
          </cell>
        </row>
        <row r="5">
          <cell r="E5">
            <v>45.4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岳阳本白纸60克9号机82度550*2卷筒</v>
          </cell>
        </row>
        <row r="10">
          <cell r="H10">
            <v>12.516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岳阳本白纸60克9号机82度550*770平板</v>
          </cell>
        </row>
        <row r="8">
          <cell r="E8">
            <v>137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岳阳本白纸60克9号机82度550*787平板</v>
          </cell>
        </row>
        <row r="12">
          <cell r="E12">
            <v>38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岳阳本白纸60克9号机82度550*790平板</v>
          </cell>
        </row>
        <row r="5">
          <cell r="E5">
            <v>924.4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岳阳本白纸60克10号机82度550*770平板</v>
          </cell>
        </row>
        <row r="27">
          <cell r="E27">
            <v>15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岳阳60克本白纸880*1230平板</v>
          </cell>
        </row>
        <row r="11">
          <cell r="E11">
            <v>9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岳阳本白纸65克8号机84度889*1194平板</v>
          </cell>
        </row>
        <row r="12">
          <cell r="E12">
            <v>42.5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岳阳本白纸70克3号机82度550*787平板</v>
          </cell>
        </row>
        <row r="9">
          <cell r="E9">
            <v>175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H18">
            <v>1.562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岳阳本白纸70克3号机82度770卷筒</v>
          </cell>
        </row>
        <row r="8">
          <cell r="H8">
            <v>11.342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岳阳70克本白纸3号机85度889*1194平板</v>
          </cell>
        </row>
        <row r="11">
          <cell r="E11">
            <v>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岳阳本白纸70克8号机82度787卷筒</v>
          </cell>
        </row>
        <row r="5">
          <cell r="H5">
            <v>2.238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岳阳70克本白纸8号机82度787*1092平板</v>
          </cell>
        </row>
        <row r="11">
          <cell r="E11">
            <v>6.8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岳阳本白纸70克8号机82度870*1194平板</v>
          </cell>
        </row>
        <row r="5">
          <cell r="E5">
            <v>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岳阳本白纸70克8号机82度889*1194平板</v>
          </cell>
        </row>
        <row r="5">
          <cell r="E5">
            <v>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岳阳本白纸70克8号机82度890卷筒</v>
          </cell>
        </row>
        <row r="4">
          <cell r="H4">
            <v>1.908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岳阳本白纸70克8号机85度770卷筒</v>
          </cell>
        </row>
        <row r="7">
          <cell r="H7">
            <v>2.223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岳阳70克本白纸10号机85度650卷筒</v>
          </cell>
        </row>
        <row r="4">
          <cell r="H4">
            <v>1.939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H5">
            <v>7.017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H19">
            <v>10.433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75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岳阳本白纸70克10号机85度800卷</v>
          </cell>
        </row>
        <row r="4">
          <cell r="H4">
            <v>0.601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岳阳本白纸70克10号机85度800*1092平板</v>
          </cell>
        </row>
        <row r="4">
          <cell r="E4">
            <v>19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岳阳70克10号机85度本白纸890卷筒</v>
          </cell>
        </row>
        <row r="5">
          <cell r="H5">
            <v>2.576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岳阳本白纸75克8号机82度880卷筒</v>
          </cell>
        </row>
        <row r="4">
          <cell r="H4">
            <v>19.665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岳阳本白纸78克3号机85度880*1194平板</v>
          </cell>
        </row>
        <row r="5">
          <cell r="E5">
            <v>7.4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岳阳本白纸80克3号机82度780卷筒</v>
          </cell>
        </row>
        <row r="6">
          <cell r="H6">
            <v>8.607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岳阳本白纸80克3号机82度787*1092平板</v>
          </cell>
        </row>
        <row r="14">
          <cell r="E14">
            <v>23.2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岳阳本白纸80克3号机82度870卷筒</v>
          </cell>
        </row>
        <row r="4">
          <cell r="H4">
            <v>2.098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岳阳本白纸80克3号机82度880卷筒</v>
          </cell>
        </row>
        <row r="4">
          <cell r="H4">
            <v>1.957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E20">
            <v>68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岳阳本白纸80克3号机82度889*1194平板</v>
          </cell>
        </row>
        <row r="12">
          <cell r="E12">
            <v>22.5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E19">
            <v>30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E14">
            <v>14.5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岳阳本白纸80克3号机85度787卷筒</v>
          </cell>
        </row>
        <row r="8">
          <cell r="H8">
            <v>12.403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岳阳本白纸80克3号机85度787*1092平板</v>
          </cell>
        </row>
        <row r="5">
          <cell r="E5">
            <v>14.3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岳阳本白纸80克3号机85度800*1092平板</v>
          </cell>
        </row>
        <row r="4">
          <cell r="E4">
            <v>50.8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9.375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E16">
            <v>3.6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岳阳本白纸80克8号机82度770卷筒</v>
          </cell>
        </row>
        <row r="4">
          <cell r="H4">
            <v>3.574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岳阳本白纸80克8号机82度780卷筒</v>
          </cell>
        </row>
        <row r="4">
          <cell r="H4">
            <v>4.458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E11">
            <v>91.5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H8">
            <v>1.65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岳阳本白纸80克8号机82度787*1092平板</v>
          </cell>
        </row>
        <row r="20">
          <cell r="E20">
            <v>2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岳阳本白纸80克8号机82度870卷筒</v>
          </cell>
        </row>
        <row r="7">
          <cell r="H7">
            <v>2.308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岳阳本白纸80克8号机82度870*1194平板</v>
          </cell>
        </row>
        <row r="8">
          <cell r="E8">
            <v>6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岳阳本白纸80克8号机82度880*1194平板</v>
          </cell>
        </row>
        <row r="4">
          <cell r="E4">
            <v>11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岳阳本白纸80克8号机85度890*1194平板</v>
          </cell>
        </row>
        <row r="6">
          <cell r="E6">
            <v>0.8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岳阳本白纸80克9号机82度787卷筒</v>
          </cell>
        </row>
        <row r="5">
          <cell r="H5">
            <v>30.433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岳阳本白纸80克9号机85度550*2卷筒</v>
          </cell>
        </row>
        <row r="5">
          <cell r="H5">
            <v>7.108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岳阳本白纸80克10号机85度550*2卷筒</v>
          </cell>
        </row>
        <row r="21">
          <cell r="H21">
            <v>21.171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岳阳本白纸80克10号机85度550*787平板</v>
          </cell>
        </row>
        <row r="33">
          <cell r="E33">
            <v>380.8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H17">
            <v>25.268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岳阳本白纸80克10号机85度787*1092平板</v>
          </cell>
        </row>
        <row r="7">
          <cell r="E7">
            <v>47.2</v>
          </cell>
        </row>
      </sheetData>
    </sheetDataSet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岳阳本白纸80克10号机85度880*1194平板</v>
          </cell>
        </row>
        <row r="22">
          <cell r="E22">
            <v>7.7</v>
          </cell>
        </row>
      </sheetData>
    </sheetDataSet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岳阳本白纸食品包装纸70克800*1092平板</v>
          </cell>
        </row>
        <row r="7">
          <cell r="E7">
            <v>2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E9">
            <v>11.4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岳阳复合胶版纸65克890*1194平板</v>
          </cell>
        </row>
        <row r="9">
          <cell r="E9">
            <v>28.3</v>
          </cell>
        </row>
      </sheetData>
    </sheetDataSet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岳阳复合纸65克800*1092平板</v>
          </cell>
        </row>
        <row r="4">
          <cell r="E4">
            <v>18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H5">
            <v>1.7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岳阳轻涂纸58克787卷筒</v>
          </cell>
        </row>
        <row r="10">
          <cell r="H10">
            <v>2.19</v>
          </cell>
        </row>
      </sheetData>
    </sheetDataSet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岳阳轻涂纸58克860卷筒</v>
          </cell>
        </row>
        <row r="8">
          <cell r="H8">
            <v>5.572</v>
          </cell>
        </row>
      </sheetData>
    </sheetDataSet>
  </externalBook>
</externalLink>
</file>

<file path=xl/externalLinks/externalLink1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岳阳轻涂纸62克850卷筒</v>
          </cell>
        </row>
        <row r="4">
          <cell r="H4">
            <v>2.402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">
          <cell r="E33">
            <v>90.5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H13">
            <v>27.634</v>
          </cell>
        </row>
      </sheetData>
    </sheetDataSet>
  </externalBook>
</externalLink>
</file>

<file path=xl/externalLinks/externalLink1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H12">
            <v>11.288</v>
          </cell>
        </row>
      </sheetData>
    </sheetDataSet>
  </externalBook>
</externalLink>
</file>

<file path=xl/externalLinks/externalLink1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岳阳轻涂纸64克870卷筒</v>
          </cell>
        </row>
        <row r="9">
          <cell r="H9">
            <v>0.809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岳阳轻涂纸64克880*1230平板</v>
          </cell>
        </row>
        <row r="7">
          <cell r="E7">
            <v>261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岳阳轻涂纸68克787卷筒</v>
          </cell>
        </row>
        <row r="6">
          <cell r="H6">
            <v>3.705</v>
          </cell>
        </row>
      </sheetData>
    </sheetDataSet>
  </externalBook>
</externalLink>
</file>

<file path=xl/externalLinks/externalLink1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岳阳轻涂纸68克889卷筒</v>
          </cell>
        </row>
        <row r="11">
          <cell r="H11">
            <v>2.385</v>
          </cell>
        </row>
      </sheetData>
    </sheetDataSet>
  </externalBook>
</externalLink>
</file>

<file path=xl/externalLinks/externalLink1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岳阳轻涂纸70克780卷筒</v>
          </cell>
        </row>
        <row r="5">
          <cell r="H5">
            <v>2.202</v>
          </cell>
        </row>
      </sheetData>
    </sheetDataSet>
  </externalBook>
</externalLink>
</file>

<file path=xl/externalLinks/externalLink1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岳阳轻涂纸70克787卷筒</v>
          </cell>
        </row>
        <row r="12">
          <cell r="H12">
            <v>0.716</v>
          </cell>
        </row>
      </sheetData>
    </sheetDataSet>
  </externalBook>
</externalLink>
</file>

<file path=xl/externalLinks/externalLink1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65</v>
          </cell>
        </row>
      </sheetData>
    </sheetDataSet>
  </externalBook>
</externalLink>
</file>

<file path=xl/externalLinks/externalLink1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>
            <v>41.84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20.325</v>
          </cell>
        </row>
      </sheetData>
    </sheetDataSet>
  </externalBook>
</externalLink>
</file>

<file path=xl/externalLinks/externalLink1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164</v>
          </cell>
        </row>
      </sheetData>
    </sheetDataSet>
  </externalBook>
</externalLink>
</file>

<file path=xl/externalLinks/externalLink1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岳阳轻涂纸79克880卷筒</v>
          </cell>
        </row>
        <row r="4">
          <cell r="H4">
            <v>0.811</v>
          </cell>
        </row>
      </sheetData>
    </sheetDataSet>
  </externalBook>
</externalLink>
</file>

<file path=xl/externalLinks/externalLink1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H15">
            <v>2.926</v>
          </cell>
        </row>
      </sheetData>
    </sheetDataSet>
  </externalBook>
</externalLink>
</file>

<file path=xl/externalLinks/externalLink1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E14">
            <v>74.3</v>
          </cell>
        </row>
      </sheetData>
    </sheetDataSet>
  </externalBook>
</externalLink>
</file>

<file path=xl/externalLinks/externalLink1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岳阳轻涂纸80克880卷筒</v>
          </cell>
        </row>
        <row r="6">
          <cell r="H6">
            <v>6.394</v>
          </cell>
        </row>
      </sheetData>
    </sheetDataSet>
  </externalBook>
</externalLink>
</file>

<file path=xl/externalLinks/externalLink19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29.3</v>
          </cell>
        </row>
      </sheetData>
    </sheetDataSet>
  </externalBook>
</externalLink>
</file>

<file path=xl/externalLinks/externalLink19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H21">
            <v>8.107</v>
          </cell>
        </row>
      </sheetData>
    </sheetDataSet>
  </externalBook>
</externalLink>
</file>

<file path=xl/externalLinks/externalLink19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E24">
            <v>41.6</v>
          </cell>
        </row>
      </sheetData>
    </sheetDataSet>
  </externalBook>
</externalLink>
</file>

<file path=xl/externalLinks/externalLink19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岳阳轻型纸60克9号机800*1092平板</v>
          </cell>
        </row>
        <row r="5">
          <cell r="E5">
            <v>118.7</v>
          </cell>
        </row>
      </sheetData>
    </sheetDataSet>
  </externalBook>
</externalLink>
</file>

<file path=xl/externalLinks/externalLink19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H7">
            <v>7.677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H8">
            <v>2.37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H4">
            <v>27.398</v>
          </cell>
        </row>
      </sheetData>
    </sheetDataSet>
  </externalBook>
</externalLink>
</file>

<file path=xl/externalLinks/externalLink20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岳阳轻型纸70克9号机787*1092平板</v>
          </cell>
        </row>
        <row r="7">
          <cell r="E7">
            <v>54.8</v>
          </cell>
        </row>
      </sheetData>
    </sheetDataSet>
  </externalBook>
</externalLink>
</file>

<file path=xl/externalLinks/externalLink20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岳阳轻型纸9号机80克800*1092平板</v>
          </cell>
        </row>
        <row r="6">
          <cell r="E6">
            <v>184.8</v>
          </cell>
        </row>
      </sheetData>
    </sheetDataSet>
  </externalBook>
</externalLink>
</file>

<file path=xl/externalLinks/externalLink20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E23">
            <v>65.5</v>
          </cell>
        </row>
      </sheetData>
    </sheetDataSet>
  </externalBook>
</externalLink>
</file>

<file path=xl/externalLinks/externalLink20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岳阳轻型纸58克10号机81度870卷筒</v>
          </cell>
        </row>
        <row r="6">
          <cell r="H6">
            <v>3.276</v>
          </cell>
        </row>
      </sheetData>
    </sheetDataSet>
  </externalBook>
</externalLink>
</file>

<file path=xl/externalLinks/externalLink20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E14">
            <v>12.5</v>
          </cell>
        </row>
      </sheetData>
    </sheetDataSet>
  </externalBook>
</externalLink>
</file>

<file path=xl/externalLinks/externalLink20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H7">
            <v>9.471</v>
          </cell>
        </row>
      </sheetData>
    </sheetDataSet>
  </externalBook>
</externalLink>
</file>

<file path=xl/externalLinks/externalLink20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岳阳轻型纸58克10号机1000*720平板</v>
          </cell>
        </row>
        <row r="11">
          <cell r="E11">
            <v>7.3</v>
          </cell>
        </row>
      </sheetData>
    </sheetDataSet>
  </externalBook>
</externalLink>
</file>

<file path=xl/externalLinks/externalLink20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岳阳轻型纸58克1092*787平板</v>
          </cell>
        </row>
        <row r="5">
          <cell r="E5">
            <v>71</v>
          </cell>
        </row>
      </sheetData>
    </sheetDataSet>
  </externalBook>
</externalLink>
</file>

<file path=xl/externalLinks/externalLink20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岳阳轻型纸60克10号机81度770卷筒</v>
          </cell>
        </row>
        <row r="16">
          <cell r="H16">
            <v>1.245</v>
          </cell>
        </row>
      </sheetData>
    </sheetDataSet>
  </externalBook>
</externalLink>
</file>

<file path=xl/externalLinks/externalLink20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岳阳60克轻型纸10号机720卷筒</v>
          </cell>
        </row>
        <row r="16">
          <cell r="H16">
            <v>4.176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2.821</v>
          </cell>
        </row>
      </sheetData>
    </sheetDataSet>
  </externalBook>
</externalLink>
</file>

<file path=xl/externalLinks/externalLink2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6">
          <cell r="E36">
            <v>108.3</v>
          </cell>
        </row>
      </sheetData>
    </sheetDataSet>
  </externalBook>
</externalLink>
</file>

<file path=xl/externalLinks/externalLink2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E26">
            <v>26.6</v>
          </cell>
        </row>
      </sheetData>
    </sheetDataSet>
  </externalBook>
</externalLink>
</file>

<file path=xl/externalLinks/externalLink2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E20">
            <v>25.8</v>
          </cell>
        </row>
      </sheetData>
    </sheetDataSet>
  </externalBook>
</externalLink>
</file>

<file path=xl/externalLinks/externalLink2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岳阳60克10号机轻型纸889*1194平板</v>
          </cell>
        </row>
        <row r="10">
          <cell r="E10">
            <v>4.1</v>
          </cell>
        </row>
      </sheetData>
    </sheetDataSet>
  </externalBook>
</externalLink>
</file>

<file path=xl/externalLinks/externalLink2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岳阳轻型纸60克890*1194平板</v>
          </cell>
        </row>
        <row r="11">
          <cell r="E11">
            <v>35</v>
          </cell>
        </row>
      </sheetData>
    </sheetDataSet>
  </externalBook>
</externalLink>
</file>

<file path=xl/externalLinks/externalLink2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岳阳轻型纸65克2号机77度720卷筒</v>
          </cell>
        </row>
        <row r="12">
          <cell r="H12">
            <v>2.918</v>
          </cell>
        </row>
      </sheetData>
    </sheetDataSet>
  </externalBook>
</externalLink>
</file>

<file path=xl/externalLinks/externalLink2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岳阳轻型纸65克2号机77度720*1000平板</v>
          </cell>
        </row>
        <row r="15">
          <cell r="E15">
            <v>74.2</v>
          </cell>
        </row>
      </sheetData>
    </sheetDataSet>
  </externalBook>
</externalLink>
</file>

<file path=xl/externalLinks/externalLink2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岳阳轻型纸65克2号机77度787卷筒</v>
          </cell>
        </row>
        <row r="11">
          <cell r="H11">
            <v>5.323</v>
          </cell>
        </row>
      </sheetData>
    </sheetDataSet>
  </externalBook>
</externalLink>
</file>

<file path=xl/externalLinks/externalLink2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岳阳轻型纸65克2号机77度787*1092</v>
          </cell>
        </row>
        <row r="13">
          <cell r="E13">
            <v>4</v>
          </cell>
        </row>
      </sheetData>
    </sheetDataSet>
  </externalBook>
</externalLink>
</file>

<file path=xl/externalLinks/externalLink2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岳阳轻型纸65克2号机77度889卷筒</v>
          </cell>
        </row>
        <row r="14">
          <cell r="H14">
            <v>7.29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51.6</v>
          </cell>
        </row>
      </sheetData>
    </sheetDataSet>
  </externalBook>
</externalLink>
</file>

<file path=xl/externalLinks/externalLink2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8">
          <cell r="E168">
            <v>101.9</v>
          </cell>
        </row>
      </sheetData>
    </sheetDataSet>
  </externalBook>
</externalLink>
</file>

<file path=xl/externalLinks/externalLink2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岳阳轻型纸65克2号机700卷筒</v>
          </cell>
        </row>
        <row r="16">
          <cell r="H16">
            <v>7.321</v>
          </cell>
        </row>
      </sheetData>
    </sheetDataSet>
  </externalBook>
</externalLink>
</file>

<file path=xl/externalLinks/externalLink2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岳阳轻型纸65克2号机700*1000平板</v>
          </cell>
        </row>
        <row r="27">
          <cell r="E27">
            <v>31.8</v>
          </cell>
        </row>
      </sheetData>
    </sheetDataSet>
  </externalBook>
</externalLink>
</file>

<file path=xl/externalLinks/externalLink2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H10">
            <v>5.988</v>
          </cell>
        </row>
      </sheetData>
    </sheetDataSet>
  </externalBook>
</externalLink>
</file>

<file path=xl/externalLinks/externalLink2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>
            <v>3.5</v>
          </cell>
        </row>
      </sheetData>
    </sheetDataSet>
  </externalBook>
</externalLink>
</file>

<file path=xl/externalLinks/externalLink2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岳阳轻型纸70克710*1000</v>
          </cell>
        </row>
        <row r="6">
          <cell r="E6">
            <v>36.6</v>
          </cell>
        </row>
      </sheetData>
    </sheetDataSet>
  </externalBook>
</externalLink>
</file>

<file path=xl/externalLinks/externalLink2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14</v>
          </cell>
        </row>
      </sheetData>
    </sheetDataSet>
  </externalBook>
</externalLink>
</file>

<file path=xl/externalLinks/externalLink2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岳阳轻型纸75克2号机77度720卷筒</v>
          </cell>
        </row>
        <row r="13">
          <cell r="H13">
            <v>5.046</v>
          </cell>
        </row>
      </sheetData>
    </sheetDataSet>
  </externalBook>
</externalLink>
</file>

<file path=xl/externalLinks/externalLink2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岳阳轻型纸75克2号机77度720*1000平板</v>
          </cell>
        </row>
        <row r="14">
          <cell r="E14">
            <v>0.3</v>
          </cell>
        </row>
      </sheetData>
    </sheetDataSet>
  </externalBook>
</externalLink>
</file>

<file path=xl/externalLinks/externalLink2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7">
          <cell r="H37">
            <v>15.013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58</v>
          </cell>
        </row>
      </sheetData>
    </sheetDataSet>
  </externalBook>
</externalLink>
</file>

<file path=xl/externalLinks/externalLink2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8">
          <cell r="E48">
            <v>88.4</v>
          </cell>
        </row>
      </sheetData>
    </sheetDataSet>
  </externalBook>
</externalLink>
</file>

<file path=xl/externalLinks/externalLink2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8">
          <cell r="H38">
            <v>45.152</v>
          </cell>
        </row>
      </sheetData>
    </sheetDataSet>
  </externalBook>
</externalLink>
</file>

<file path=xl/externalLinks/externalLink2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8">
          <cell r="E98">
            <v>121</v>
          </cell>
        </row>
      </sheetData>
    </sheetDataSet>
  </externalBook>
</externalLink>
</file>

<file path=xl/externalLinks/externalLink2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岳阳轻型纸75克2号机77度1000卷筒</v>
          </cell>
        </row>
        <row r="6">
          <cell r="H6">
            <v>13.937</v>
          </cell>
        </row>
      </sheetData>
    </sheetDataSet>
  </externalBook>
</externalLink>
</file>

<file path=xl/externalLinks/externalLink2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岳阳轻型纸75克2号机77度1000*720平板</v>
          </cell>
        </row>
        <row r="5">
          <cell r="E5">
            <v>59.3</v>
          </cell>
        </row>
      </sheetData>
    </sheetDataSet>
  </externalBook>
</externalLink>
</file>

<file path=xl/externalLinks/externalLink2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岳阳轻型纸78克2号机787卷筒</v>
          </cell>
        </row>
        <row r="8">
          <cell r="H8">
            <v>2.65</v>
          </cell>
        </row>
      </sheetData>
    </sheetDataSet>
  </externalBook>
</externalLink>
</file>

<file path=xl/externalLinks/externalLink2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岳阳轻型纸78克2号机990卷筒</v>
          </cell>
        </row>
        <row r="4">
          <cell r="H4">
            <v>2.1</v>
          </cell>
        </row>
      </sheetData>
    </sheetDataSet>
  </externalBook>
</externalLink>
</file>

<file path=xl/externalLinks/externalLink2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岳阳轻型纸80克2号机889卷筒</v>
          </cell>
        </row>
        <row r="10">
          <cell r="H10">
            <v>17.858</v>
          </cell>
        </row>
      </sheetData>
    </sheetDataSet>
  </externalBook>
</externalLink>
</file>

<file path=xl/externalLinks/externalLink2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岳阳轻型纸80克2号机889*1194平板</v>
          </cell>
        </row>
        <row r="14">
          <cell r="E14">
            <v>6.2</v>
          </cell>
        </row>
      </sheetData>
    </sheetDataSet>
  </externalBook>
</externalLink>
</file>

<file path=xl/externalLinks/externalLink2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0">
          <cell r="H40">
            <v>1.788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晨鸣云豹双胶纸58克889*1194平板</v>
          </cell>
        </row>
        <row r="5">
          <cell r="E5">
            <v>45.5</v>
          </cell>
        </row>
      </sheetData>
    </sheetDataSet>
  </externalBook>
</externalLink>
</file>

<file path=xl/externalLinks/externalLink2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8">
          <cell r="E128">
            <v>37.5</v>
          </cell>
        </row>
      </sheetData>
    </sheetDataSet>
  </externalBook>
</externalLink>
</file>

<file path=xl/externalLinks/externalLink2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H20">
            <v>17.255</v>
          </cell>
        </row>
      </sheetData>
    </sheetDataSet>
  </externalBook>
</externalLink>
</file>

<file path=xl/externalLinks/externalLink2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E10">
            <v>15</v>
          </cell>
        </row>
      </sheetData>
    </sheetDataSet>
  </externalBook>
</externalLink>
</file>

<file path=xl/externalLinks/externalLink2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7">
          <cell r="H47">
            <v>10.881</v>
          </cell>
        </row>
      </sheetData>
    </sheetDataSet>
  </externalBook>
</externalLink>
</file>

<file path=xl/externalLinks/externalLink2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岳阳轻型纸95克2号机889*1194</v>
          </cell>
        </row>
        <row r="83">
          <cell r="E83">
            <v>72.5</v>
          </cell>
        </row>
      </sheetData>
    </sheetDataSet>
  </externalBook>
</externalLink>
</file>

<file path=xl/externalLinks/externalLink2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岳阳轻型纸（进口）B60克635卷筒</v>
          </cell>
        </row>
        <row r="12">
          <cell r="H12">
            <v>15.65</v>
          </cell>
        </row>
      </sheetData>
    </sheetDataSet>
  </externalBook>
</externalLink>
</file>

<file path=xl/externalLinks/externalLink2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岳阳轻型纸（进口）B60克635*920平板</v>
          </cell>
        </row>
        <row r="11">
          <cell r="E11">
            <v>11.2</v>
          </cell>
        </row>
      </sheetData>
    </sheetDataSet>
  </externalBook>
</externalLink>
</file>

<file path=xl/externalLinks/externalLink2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岳阳轻型纸70克（芬兰）790卷筒</v>
          </cell>
        </row>
        <row r="4">
          <cell r="H4">
            <v>15.072</v>
          </cell>
        </row>
      </sheetData>
    </sheetDataSet>
  </externalBook>
</externalLink>
</file>

<file path=xl/externalLinks/externalLink2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岳阳轻型纸（芬兰）70克890卷筒</v>
          </cell>
        </row>
        <row r="5">
          <cell r="H5">
            <v>12.366</v>
          </cell>
        </row>
      </sheetData>
    </sheetDataSet>
  </externalBook>
</externalLink>
</file>

<file path=xl/externalLinks/externalLink2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岳阳轻型纸（芬兰）70克890*1194平板</v>
          </cell>
        </row>
        <row r="6">
          <cell r="E6">
            <v>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晨鸣云鹤本白纸60克880*1230平板</v>
          </cell>
        </row>
        <row r="20">
          <cell r="E20">
            <v>31.4</v>
          </cell>
        </row>
      </sheetData>
    </sheetDataSet>
  </externalBook>
</externalLink>
</file>

<file path=xl/externalLinks/externalLink2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岳阳轻型纸（挪威）60克787卷筒</v>
          </cell>
        </row>
        <row r="5">
          <cell r="H5">
            <v>1.036</v>
          </cell>
        </row>
      </sheetData>
    </sheetDataSet>
  </externalBook>
</externalLink>
</file>

<file path=xl/externalLinks/externalLink2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岳阳轻型纸（挪威）60克787*1092平板</v>
          </cell>
        </row>
        <row r="5">
          <cell r="E5">
            <v>21.2</v>
          </cell>
        </row>
      </sheetData>
    </sheetDataSet>
  </externalBook>
</externalLink>
</file>

<file path=xl/externalLinks/externalLink2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岳阳轻型纸（挪威）70克787卷筒</v>
          </cell>
        </row>
        <row r="4">
          <cell r="H4">
            <v>19.814</v>
          </cell>
        </row>
      </sheetData>
    </sheetDataSet>
  </externalBook>
</externalLink>
</file>

<file path=xl/externalLinks/externalLink2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岳阳轻型纸（挪威）80克787卷筒</v>
          </cell>
        </row>
        <row r="4">
          <cell r="H4">
            <v>2.564</v>
          </cell>
        </row>
      </sheetData>
    </sheetDataSet>
  </externalBook>
</externalLink>
</file>

<file path=xl/externalLinks/externalLink2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岳阳全木浆双胶纸58克787*1092平板</v>
          </cell>
        </row>
        <row r="9">
          <cell r="E9">
            <v>46</v>
          </cell>
        </row>
      </sheetData>
    </sheetDataSet>
  </externalBook>
</externalLink>
</file>

<file path=xl/externalLinks/externalLink2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岳阳全木浆双胶纸58克889*1194平板</v>
          </cell>
        </row>
        <row r="9">
          <cell r="E9">
            <v>4.6</v>
          </cell>
        </row>
      </sheetData>
    </sheetDataSet>
  </externalBook>
</externalLink>
</file>

<file path=xl/externalLinks/externalLink2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岳阳全木浆双胶纸65克787*1092平板</v>
          </cell>
        </row>
        <row r="6">
          <cell r="E6">
            <v>35.3</v>
          </cell>
        </row>
      </sheetData>
    </sheetDataSet>
  </externalBook>
</externalLink>
</file>

<file path=xl/externalLinks/externalLink2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岳阳全木浆双胶纸73克787卷筒</v>
          </cell>
        </row>
        <row r="4">
          <cell r="H4">
            <v>1.623</v>
          </cell>
        </row>
      </sheetData>
    </sheetDataSet>
  </externalBook>
</externalLink>
</file>

<file path=xl/externalLinks/externalLink2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E18">
            <v>12</v>
          </cell>
        </row>
      </sheetData>
    </sheetDataSet>
  </externalBook>
</externalLink>
</file>

<file path=xl/externalLinks/externalLink2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岳阳全木浆双胶纸75克889*1194平板</v>
          </cell>
        </row>
        <row r="18">
          <cell r="E18">
            <v>66.5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晨鸣汉阳云鹤本白纸65克787*1092平板</v>
          </cell>
        </row>
        <row r="9">
          <cell r="E9">
            <v>220</v>
          </cell>
        </row>
      </sheetData>
    </sheetDataSet>
  </externalBook>
</externalLink>
</file>

<file path=xl/externalLinks/externalLink2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岳阳全木浆双胶纸100克780*1092平板</v>
          </cell>
        </row>
        <row r="19">
          <cell r="E19">
            <v>1171.3</v>
          </cell>
        </row>
      </sheetData>
    </sheetDataSet>
  </externalBook>
</externalLink>
</file>

<file path=xl/externalLinks/externalLink2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10.7</v>
          </cell>
        </row>
      </sheetData>
    </sheetDataSet>
  </externalBook>
</externalLink>
</file>

<file path=xl/externalLinks/externalLink2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24.5</v>
          </cell>
        </row>
      </sheetData>
    </sheetDataSet>
  </externalBook>
</externalLink>
</file>

<file path=xl/externalLinks/externalLink2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6</v>
          </cell>
        </row>
      </sheetData>
    </sheetDataSet>
  </externalBook>
</externalLink>
</file>

<file path=xl/externalLinks/externalLink2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146</v>
          </cell>
        </row>
      </sheetData>
    </sheetDataSet>
  </externalBook>
</externalLink>
</file>

<file path=xl/externalLinks/externalLink2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岳阳双胶纸118克800*1092平板</v>
          </cell>
        </row>
        <row r="4">
          <cell r="E4">
            <v>11.4</v>
          </cell>
        </row>
      </sheetData>
    </sheetDataSet>
  </externalBook>
</externalLink>
</file>

<file path=xl/externalLinks/externalLink2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H5">
            <v>1.302</v>
          </cell>
        </row>
      </sheetData>
    </sheetDataSet>
  </externalBook>
</externalLink>
</file>

<file path=xl/externalLinks/externalLink2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岳阳双胶纸（通力）65克787卷筒</v>
          </cell>
        </row>
        <row r="8">
          <cell r="H8">
            <v>24.377</v>
          </cell>
        </row>
      </sheetData>
    </sheetDataSet>
  </externalBook>
</externalLink>
</file>

<file path=xl/externalLinks/externalLink2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岳阳双胶纸（通力）65克787*1092平板</v>
          </cell>
        </row>
        <row r="6">
          <cell r="E6">
            <v>19</v>
          </cell>
        </row>
      </sheetData>
    </sheetDataSet>
  </externalBook>
</externalLink>
</file>

<file path=xl/externalLinks/externalLink2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岳阳双胶纸（通力）65克889卷筒--复卷</v>
          </cell>
        </row>
        <row r="8">
          <cell r="H8">
            <v>11.672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晨鸣汉阳云鹤本白纸70克787*1092平板</v>
          </cell>
        </row>
        <row r="13">
          <cell r="E13">
            <v>348</v>
          </cell>
        </row>
      </sheetData>
    </sheetDataSet>
  </externalBook>
</externalLink>
</file>

<file path=xl/externalLinks/externalLink2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岳阳双胶纸（通力）65克889卷筒</v>
          </cell>
        </row>
        <row r="6">
          <cell r="H6">
            <v>29.021</v>
          </cell>
        </row>
      </sheetData>
    </sheetDataSet>
  </externalBook>
</externalLink>
</file>

<file path=xl/externalLinks/externalLink2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岳阳双胶纸（通力）65克889*1194平板</v>
          </cell>
        </row>
        <row r="5">
          <cell r="E5">
            <v>69</v>
          </cell>
        </row>
      </sheetData>
    </sheetDataSet>
  </externalBook>
</externalLink>
</file>

<file path=xl/externalLinks/externalLink2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岳阳双胶纸（通力）75克889卷筒</v>
          </cell>
        </row>
        <row r="12">
          <cell r="H12">
            <v>20.826</v>
          </cell>
        </row>
      </sheetData>
    </sheetDataSet>
  </externalBook>
</externalLink>
</file>

<file path=xl/externalLinks/externalLink2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岳阳双胶纸（通力）75克889*1194平板</v>
          </cell>
        </row>
        <row r="20">
          <cell r="E20">
            <v>63.6</v>
          </cell>
        </row>
      </sheetData>
    </sheetDataSet>
  </externalBook>
</externalLink>
</file>

<file path=xl/externalLinks/externalLink2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24.5</v>
          </cell>
        </row>
      </sheetData>
    </sheetDataSet>
  </externalBook>
</externalLink>
</file>

<file path=xl/externalLinks/externalLink2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岳阳涂布纯质纸80克787卷筒</v>
          </cell>
        </row>
        <row r="5">
          <cell r="H5">
            <v>4.581</v>
          </cell>
        </row>
      </sheetData>
    </sheetDataSet>
  </externalBook>
</externalLink>
</file>

<file path=xl/externalLinks/externalLink2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1.972</v>
          </cell>
        </row>
      </sheetData>
    </sheetDataSet>
  </externalBook>
</externalLink>
</file>

<file path=xl/externalLinks/externalLink2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岳阳涂布纯质纸80克889*1194平板</v>
          </cell>
        </row>
        <row r="6">
          <cell r="E6">
            <v>11.6</v>
          </cell>
        </row>
      </sheetData>
    </sheetDataSet>
  </externalBook>
</externalLink>
</file>

<file path=xl/externalLinks/externalLink2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E20">
            <v>77.9</v>
          </cell>
        </row>
      </sheetData>
    </sheetDataSet>
  </externalBook>
</externalLink>
</file>

<file path=xl/externalLinks/externalLink2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30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晨鸣云狮原白双胶纸58克720卷筒</v>
          </cell>
        </row>
        <row r="21">
          <cell r="H21">
            <v>20.049</v>
          </cell>
        </row>
      </sheetData>
    </sheetDataSet>
  </externalBook>
</externalLink>
</file>

<file path=xl/externalLinks/externalLink2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沅江57克本白纸770*1092平板</v>
          </cell>
        </row>
        <row r="5">
          <cell r="E5">
            <v>13.5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晨鸣皓玉58克双胶纸889*1194平板</v>
          </cell>
        </row>
        <row r="12">
          <cell r="E12">
            <v>32.5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70.8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E21">
            <v>114.5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地龙双胶纸58克787卷筒</v>
          </cell>
        </row>
        <row r="6">
          <cell r="H6">
            <v>6.017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5">
          <cell r="E35">
            <v>84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地龙双胶纸58克870*1194平板</v>
          </cell>
        </row>
        <row r="4">
          <cell r="E4">
            <v>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">
          <cell r="E33">
            <v>40.2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15.5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H9">
            <v>8.238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地龙65克双胶纸720*1000</v>
          </cell>
        </row>
        <row r="37">
          <cell r="E37">
            <v>64.8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E14">
            <v>16.6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E11">
            <v>48.4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H24">
            <v>12.029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E13">
            <v>23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地龙双胶纸68克900*1194平板</v>
          </cell>
        </row>
        <row r="6">
          <cell r="E6">
            <v>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E9">
            <v>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H12">
            <v>1.136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E8">
            <v>124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>
            <v>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E9">
            <v>182.2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H8">
            <v>3.2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法国轻涂纸70克800卷筒</v>
          </cell>
        </row>
        <row r="5">
          <cell r="H5">
            <v>6.178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4">
          <cell r="E54">
            <v>106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7">
          <cell r="H27">
            <v>19.945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9">
          <cell r="H39">
            <v>30.723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华垦本白纸55克870*1194平板</v>
          </cell>
        </row>
        <row r="9">
          <cell r="E9">
            <v>5.8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华垦本白纸55克889卷筒</v>
          </cell>
        </row>
        <row r="7">
          <cell r="H7">
            <v>14.262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E11">
            <v>19.5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40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40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金阳双胶纸74克857*1092平板</v>
          </cell>
        </row>
        <row r="4">
          <cell r="E4">
            <v>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E11">
            <v>9.8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H5">
            <v>4.551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金阳双胶纸84克889*1194平板</v>
          </cell>
        </row>
        <row r="5">
          <cell r="E5">
            <v>26.4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60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140.4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金阳双胶纸110克800*1092平板</v>
          </cell>
        </row>
        <row r="4">
          <cell r="E4">
            <v>11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27.98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H5">
            <v>1.183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山东德州华北轻型纸58克889*1194平板</v>
          </cell>
        </row>
        <row r="20">
          <cell r="E20">
            <v>96.8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太阳本白纸55克870*1194平板</v>
          </cell>
        </row>
        <row r="16">
          <cell r="E16">
            <v>3.6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太阳本白纸55克889*1194平板</v>
          </cell>
        </row>
        <row r="18">
          <cell r="E18">
            <v>41.2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H8">
            <v>10.883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太阳本白纸58克720*1000平板</v>
          </cell>
        </row>
        <row r="25">
          <cell r="E25">
            <v>16.2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太阳本白纸58克787*1092平板</v>
          </cell>
        </row>
        <row r="6">
          <cell r="E6">
            <v>759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太阳本白纸65克787*1092平板</v>
          </cell>
        </row>
        <row r="15">
          <cell r="E15">
            <v>25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太阳本白纸65克889卷筒</v>
          </cell>
        </row>
        <row r="7">
          <cell r="H7">
            <v>3.222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太阳本白纸65克889*1194平板</v>
          </cell>
        </row>
        <row r="12">
          <cell r="E12">
            <v>24.7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太阳本白纸68克880卷筒</v>
          </cell>
        </row>
        <row r="4">
          <cell r="H4">
            <v>15.386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太阳本白纸68克889*1194平板</v>
          </cell>
        </row>
        <row r="43">
          <cell r="E43">
            <v>20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太阳本白纸75克787卷筒</v>
          </cell>
        </row>
        <row r="5">
          <cell r="H5">
            <v>23.808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太阳本白纸75克787*1092平板</v>
          </cell>
        </row>
        <row r="5">
          <cell r="E5">
            <v>63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太阳本白纸75克889卷筒</v>
          </cell>
        </row>
        <row r="6">
          <cell r="H6">
            <v>13.44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27.3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太阳本白纸75克889*1194平板</v>
          </cell>
        </row>
        <row r="11">
          <cell r="E11">
            <v>0.2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太阳本白纸78克787*1092平板</v>
          </cell>
        </row>
        <row r="12">
          <cell r="E12">
            <v>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H17">
            <v>37.812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E14">
            <v>66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太阳轻型纸65克720卷筒</v>
          </cell>
        </row>
        <row r="10">
          <cell r="H10">
            <v>10.209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H11">
            <v>41.219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E9">
            <v>466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H13">
            <v>39.576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太阳轻型纸65克889*990平板</v>
          </cell>
        </row>
        <row r="10">
          <cell r="E10">
            <v>468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太阳轻型纸65克889*1194平板</v>
          </cell>
        </row>
        <row r="13">
          <cell r="E13">
            <v>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H8">
            <v>0.555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太阳轻型纸65克1000卷筒</v>
          </cell>
        </row>
        <row r="12">
          <cell r="H12">
            <v>5.293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太阳轻型纸65克1000*720平板</v>
          </cell>
        </row>
        <row r="13">
          <cell r="E13">
            <v>31.5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7">
          <cell r="E67">
            <v>70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5">
          <cell r="H45">
            <v>4.647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太阳轻型纸75克889*990平板</v>
          </cell>
        </row>
        <row r="15">
          <cell r="E15">
            <v>336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6">
          <cell r="E66">
            <v>28.5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太阳93克轻型纸787*1092平板</v>
          </cell>
        </row>
        <row r="30">
          <cell r="E30">
            <v>8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太阳轻型纸95克889卷筒</v>
          </cell>
        </row>
        <row r="12">
          <cell r="H12">
            <v>5.616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太阳95克轻型纸889*1194</v>
          </cell>
        </row>
        <row r="31">
          <cell r="E31">
            <v>16.7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7"/>
  <sheetViews>
    <sheetView tabSelected="1" topLeftCell="A265" workbookViewId="0">
      <selection activeCell="A13" sqref="A13:F13"/>
    </sheetView>
  </sheetViews>
  <sheetFormatPr defaultColWidth="9" defaultRowHeight="13.5"/>
  <cols>
    <col min="6" max="6" width="9.375" customWidth="1"/>
    <col min="7" max="7" width="11.5" style="9" customWidth="1"/>
    <col min="8" max="8" width="10.75" customWidth="1"/>
    <col min="9" max="9" width="13.375" customWidth="1"/>
    <col min="10" max="10" width="15.875" customWidth="1"/>
    <col min="11" max="12" width="5" customWidth="1"/>
    <col min="13" max="13" width="4.875" customWidth="1"/>
    <col min="14" max="14" width="21.75" customWidth="1"/>
    <col min="15" max="15" width="9.375"/>
  </cols>
  <sheetData>
    <row r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>
      <c r="A2" s="10"/>
      <c r="B2" s="10"/>
      <c r="C2" s="10"/>
      <c r="D2" s="10"/>
      <c r="E2" s="10"/>
      <c r="F2" s="10"/>
      <c r="G2" s="10"/>
      <c r="H2" s="10"/>
      <c r="I2" s="10"/>
    </row>
    <row r="3" customFormat="1" ht="25.5" customHeight="1" spans="1:14">
      <c r="A3" s="4" t="s">
        <v>1</v>
      </c>
      <c r="B3" s="4"/>
      <c r="C3" s="4"/>
      <c r="D3" s="4"/>
      <c r="E3" s="4"/>
      <c r="F3" s="4"/>
      <c r="G3" s="4" t="s">
        <v>2</v>
      </c>
      <c r="H3" s="4" t="s">
        <v>3</v>
      </c>
      <c r="I3" s="4" t="s">
        <v>4</v>
      </c>
      <c r="J3" s="9"/>
      <c r="K3" s="9"/>
      <c r="L3" s="9"/>
      <c r="M3" s="9"/>
      <c r="N3" s="9"/>
    </row>
    <row r="4" customFormat="1" spans="1:14">
      <c r="A4" s="11" t="s">
        <v>5</v>
      </c>
      <c r="B4" s="11"/>
      <c r="C4" s="11"/>
      <c r="D4" s="11"/>
      <c r="E4" s="11"/>
      <c r="F4" s="11"/>
      <c r="G4" s="5">
        <f>[1]Sheet1!$H$9</f>
        <v>0.269</v>
      </c>
      <c r="H4" s="4"/>
      <c r="I4" s="4"/>
      <c r="J4" s="9"/>
      <c r="K4" s="9"/>
      <c r="L4" s="9"/>
      <c r="M4" s="9"/>
      <c r="N4" s="24"/>
    </row>
    <row r="5" customFormat="1" spans="1:14">
      <c r="A5" s="11" t="s">
        <v>6</v>
      </c>
      <c r="B5" s="11"/>
      <c r="C5" s="11"/>
      <c r="D5" s="11"/>
      <c r="E5" s="11"/>
      <c r="F5" s="11"/>
      <c r="G5" s="5">
        <f>[2]Sheet1!$H$8</f>
        <v>2.37</v>
      </c>
      <c r="H5" s="4"/>
      <c r="I5" s="4"/>
      <c r="J5" s="9"/>
      <c r="K5" s="9"/>
      <c r="L5" s="9"/>
      <c r="M5" s="9"/>
      <c r="N5" s="24"/>
    </row>
    <row r="6" spans="1:14">
      <c r="A6" s="11" t="s">
        <v>7</v>
      </c>
      <c r="B6" s="11"/>
      <c r="C6" s="11"/>
      <c r="D6" s="11"/>
      <c r="E6" s="11"/>
      <c r="F6" s="11"/>
      <c r="G6" s="5">
        <f>[3]Sheet1!$E$7</f>
        <v>70.8</v>
      </c>
      <c r="H6" s="4"/>
      <c r="I6" s="4"/>
      <c r="J6" s="9"/>
      <c r="K6" s="9"/>
      <c r="L6" s="9"/>
      <c r="M6" s="9"/>
      <c r="N6" s="24"/>
    </row>
    <row r="7" customFormat="1" spans="1:14">
      <c r="A7" s="11" t="s">
        <v>8</v>
      </c>
      <c r="B7" s="11"/>
      <c r="C7" s="11"/>
      <c r="D7" s="11"/>
      <c r="E7" s="11"/>
      <c r="F7" s="11"/>
      <c r="G7" s="5">
        <f>[4]Sheet1!$H$24</f>
        <v>12.029</v>
      </c>
      <c r="H7" s="4"/>
      <c r="I7" s="4"/>
      <c r="J7" s="9"/>
      <c r="K7" s="9"/>
      <c r="L7" s="9"/>
      <c r="M7" s="9"/>
      <c r="N7" s="24"/>
    </row>
    <row r="8" spans="1:14">
      <c r="A8" s="11" t="s">
        <v>9</v>
      </c>
      <c r="B8" s="11"/>
      <c r="C8" s="11"/>
      <c r="D8" s="11"/>
      <c r="E8" s="11"/>
      <c r="F8" s="11"/>
      <c r="G8" s="5">
        <f>[5]Sheet1!$E$54</f>
        <v>106</v>
      </c>
      <c r="H8" s="4"/>
      <c r="I8" s="4"/>
      <c r="J8" s="9"/>
      <c r="K8" s="9"/>
      <c r="L8" s="9"/>
      <c r="M8" s="9"/>
      <c r="N8" s="24"/>
    </row>
    <row r="9" spans="1:14">
      <c r="A9" s="12" t="s">
        <v>10</v>
      </c>
      <c r="B9" s="13"/>
      <c r="C9" s="13"/>
      <c r="D9" s="13"/>
      <c r="E9" s="13"/>
      <c r="F9" s="14"/>
      <c r="G9" s="5">
        <f>[6]Sheet1!$E$11</f>
        <v>9.8</v>
      </c>
      <c r="H9" s="4"/>
      <c r="I9" s="23"/>
      <c r="J9" s="9"/>
      <c r="K9" s="9"/>
      <c r="L9" s="9"/>
      <c r="M9" s="9"/>
      <c r="N9" s="24"/>
    </row>
    <row r="10" customFormat="1" ht="14.25" spans="1:14">
      <c r="A10" s="12" t="s">
        <v>11</v>
      </c>
      <c r="B10" s="13"/>
      <c r="C10" s="13"/>
      <c r="D10" s="13"/>
      <c r="E10" s="13"/>
      <c r="F10" s="14"/>
      <c r="G10" s="7">
        <f>[7]Sheet1!$H$8</f>
        <v>10.883</v>
      </c>
      <c r="H10" s="4"/>
      <c r="I10" s="4"/>
      <c r="J10" s="9"/>
      <c r="K10" s="9"/>
      <c r="L10" s="9"/>
      <c r="M10" s="9"/>
      <c r="N10" s="9"/>
    </row>
    <row r="11" customFormat="1" ht="14.25" spans="1:14">
      <c r="A11" s="12"/>
      <c r="B11" s="13"/>
      <c r="C11" s="13"/>
      <c r="D11" s="13"/>
      <c r="E11" s="13"/>
      <c r="F11" s="14"/>
      <c r="G11" s="7"/>
      <c r="H11" s="4"/>
      <c r="I11" s="4"/>
      <c r="J11" s="9"/>
      <c r="K11" s="9"/>
      <c r="L11" s="9"/>
      <c r="M11" s="9"/>
      <c r="N11" s="9"/>
    </row>
    <row r="12" spans="1:14">
      <c r="A12" s="12" t="s">
        <v>12</v>
      </c>
      <c r="B12" s="13"/>
      <c r="C12" s="13"/>
      <c r="D12" s="13"/>
      <c r="E12" s="13"/>
      <c r="F12" s="14"/>
      <c r="G12" s="4">
        <f>[12]Sheet1!$H$27</f>
        <v>19.405</v>
      </c>
      <c r="H12" s="4"/>
      <c r="I12" s="4"/>
      <c r="J12" s="9"/>
      <c r="K12" s="9"/>
      <c r="L12" s="9"/>
      <c r="M12" s="9"/>
      <c r="N12" s="9"/>
    </row>
    <row r="13" spans="1:14">
      <c r="A13" s="12" t="s">
        <v>13</v>
      </c>
      <c r="B13" s="13"/>
      <c r="C13" s="13"/>
      <c r="D13" s="13"/>
      <c r="E13" s="13"/>
      <c r="F13" s="14"/>
      <c r="G13" s="4">
        <f>[13]Sheet1!$H$18</f>
        <v>1.562</v>
      </c>
      <c r="H13" s="4"/>
      <c r="I13" s="4"/>
      <c r="J13" s="9"/>
      <c r="K13" s="9"/>
      <c r="L13" s="9"/>
      <c r="M13" s="9"/>
      <c r="N13" s="9"/>
    </row>
    <row r="14" spans="1:14">
      <c r="A14" s="12" t="s">
        <v>14</v>
      </c>
      <c r="B14" s="13"/>
      <c r="C14" s="13"/>
      <c r="D14" s="13"/>
      <c r="E14" s="13"/>
      <c r="F14" s="14"/>
      <c r="G14" s="4">
        <f>[8]Sheet1!$E$5</f>
        <v>27.3</v>
      </c>
      <c r="H14" s="4"/>
      <c r="I14" s="4"/>
      <c r="J14" s="9"/>
      <c r="K14" s="9"/>
      <c r="L14" s="9"/>
      <c r="M14" s="9"/>
      <c r="N14" s="9"/>
    </row>
    <row r="15" s="8" customFormat="1" spans="1:16384">
      <c r="A15" s="15" t="s">
        <v>15</v>
      </c>
      <c r="B15" s="16"/>
      <c r="C15" s="16"/>
      <c r="D15" s="16"/>
      <c r="E15" s="16"/>
      <c r="F15" s="17"/>
      <c r="G15" s="18">
        <f>[9]Sheet1!$H$8</f>
        <v>0.555</v>
      </c>
      <c r="H15" s="19"/>
      <c r="I15" s="4"/>
      <c r="J15" s="9"/>
      <c r="K15" s="25"/>
      <c r="L15" s="25"/>
      <c r="M15" s="25"/>
      <c r="N15" s="9"/>
      <c r="O15"/>
      <c r="XFD15" s="8">
        <f>SUM(A15:XFC15)</f>
        <v>0.555</v>
      </c>
    </row>
    <row r="16" spans="1:14">
      <c r="A16" s="12" t="s">
        <v>15</v>
      </c>
      <c r="B16" s="13"/>
      <c r="C16" s="13"/>
      <c r="D16" s="13"/>
      <c r="E16" s="13"/>
      <c r="F16" s="14"/>
      <c r="G16" s="20">
        <f>[14]Sheet1!$H$19</f>
        <v>10.433</v>
      </c>
      <c r="H16" s="4"/>
      <c r="I16" s="4"/>
      <c r="J16" s="9"/>
      <c r="K16" s="9"/>
      <c r="L16" s="9"/>
      <c r="M16" s="9"/>
      <c r="N16" s="9"/>
    </row>
    <row r="17" spans="1:14">
      <c r="A17" s="12" t="s">
        <v>16</v>
      </c>
      <c r="B17" s="13"/>
      <c r="C17" s="13"/>
      <c r="D17" s="13"/>
      <c r="E17" s="13"/>
      <c r="F17" s="14"/>
      <c r="G17" s="20">
        <f>[15]Sheet1!$E$20</f>
        <v>68</v>
      </c>
      <c r="H17" s="4"/>
      <c r="I17" s="4"/>
      <c r="J17" s="9"/>
      <c r="K17" s="9"/>
      <c r="L17" s="9"/>
      <c r="M17" s="9"/>
      <c r="N17" s="9"/>
    </row>
    <row r="18" spans="1:14">
      <c r="A18" s="12" t="s">
        <v>17</v>
      </c>
      <c r="B18" s="13"/>
      <c r="C18" s="13"/>
      <c r="D18" s="13"/>
      <c r="E18" s="13"/>
      <c r="F18" s="14"/>
      <c r="G18" s="20">
        <f>[16]Sheet1!$E$11</f>
        <v>91.5</v>
      </c>
      <c r="H18" s="4"/>
      <c r="I18" s="4"/>
      <c r="J18" s="9"/>
      <c r="K18" s="9"/>
      <c r="L18" s="9"/>
      <c r="M18" s="9"/>
      <c r="N18" s="9"/>
    </row>
    <row r="19" spans="1:14">
      <c r="A19" s="12" t="s">
        <v>18</v>
      </c>
      <c r="B19" s="13"/>
      <c r="C19" s="13"/>
      <c r="D19" s="13"/>
      <c r="E19" s="13"/>
      <c r="F19" s="14"/>
      <c r="G19" s="20">
        <f>[17]Sheet1!$H$17</f>
        <v>25.268</v>
      </c>
      <c r="H19" s="4"/>
      <c r="I19" s="4"/>
      <c r="J19" s="9"/>
      <c r="K19" s="9"/>
      <c r="L19" s="9"/>
      <c r="M19" s="9"/>
      <c r="N19" s="9"/>
    </row>
    <row r="20" spans="1:14">
      <c r="A20" s="12" t="s">
        <v>19</v>
      </c>
      <c r="B20" s="13"/>
      <c r="C20" s="13"/>
      <c r="D20" s="13"/>
      <c r="E20" s="13"/>
      <c r="F20" s="14"/>
      <c r="G20" s="20">
        <f>[18]Sheet1!$E$33</f>
        <v>90.5</v>
      </c>
      <c r="H20" s="4"/>
      <c r="I20" s="4"/>
      <c r="J20" s="9"/>
      <c r="K20" s="9"/>
      <c r="L20" s="9"/>
      <c r="M20" s="9"/>
      <c r="N20" s="9"/>
    </row>
    <row r="21" spans="1:14">
      <c r="A21" s="12"/>
      <c r="B21" s="13"/>
      <c r="C21" s="13"/>
      <c r="D21" s="13"/>
      <c r="E21" s="13"/>
      <c r="F21" s="14"/>
      <c r="G21" s="20"/>
      <c r="H21" s="4"/>
      <c r="I21" s="4"/>
      <c r="J21" s="9"/>
      <c r="K21" s="9"/>
      <c r="L21" s="9"/>
      <c r="M21" s="9"/>
      <c r="N21" s="9"/>
    </row>
    <row r="22" spans="1:14">
      <c r="A22" s="12" t="s">
        <v>20</v>
      </c>
      <c r="B22" s="13"/>
      <c r="C22" s="13"/>
      <c r="D22" s="13"/>
      <c r="E22" s="13"/>
      <c r="F22" s="14"/>
      <c r="G22" s="20">
        <f>[19]Sheet1!$H$6</f>
        <v>20.325</v>
      </c>
      <c r="H22" s="4"/>
      <c r="I22" s="4"/>
      <c r="J22" s="9"/>
      <c r="K22" s="9"/>
      <c r="L22" s="9"/>
      <c r="M22" s="9"/>
      <c r="N22" s="9"/>
    </row>
    <row r="23" spans="1:14">
      <c r="A23" s="12" t="s">
        <v>21</v>
      </c>
      <c r="B23" s="13"/>
      <c r="C23" s="13"/>
      <c r="D23" s="13"/>
      <c r="E23" s="13"/>
      <c r="F23" s="14"/>
      <c r="G23" s="20">
        <f>[20]Sheet1!$H$4</f>
        <v>27.398</v>
      </c>
      <c r="H23" s="4"/>
      <c r="I23" s="4"/>
      <c r="J23" s="9"/>
      <c r="K23" s="9"/>
      <c r="L23" s="9"/>
      <c r="M23" s="9"/>
      <c r="N23" s="9"/>
    </row>
    <row r="24" spans="1:14">
      <c r="A24" s="12" t="s">
        <v>22</v>
      </c>
      <c r="B24" s="13"/>
      <c r="C24" s="13"/>
      <c r="D24" s="13"/>
      <c r="E24" s="13"/>
      <c r="F24" s="14"/>
      <c r="G24" s="20">
        <f>[21]Sheet1!$H$6</f>
        <v>2.821</v>
      </c>
      <c r="H24" s="4"/>
      <c r="I24" s="4"/>
      <c r="J24" s="9"/>
      <c r="K24" s="9"/>
      <c r="L24" s="9"/>
      <c r="M24" s="9"/>
      <c r="N24" s="9"/>
    </row>
    <row r="25" spans="1:14">
      <c r="A25" s="12" t="s">
        <v>23</v>
      </c>
      <c r="B25" s="13"/>
      <c r="C25" s="13"/>
      <c r="D25" s="13"/>
      <c r="E25" s="13"/>
      <c r="F25" s="14"/>
      <c r="G25" s="20">
        <f>[22]Sheet1!$E$6</f>
        <v>51.6</v>
      </c>
      <c r="H25" s="4"/>
      <c r="I25" s="4"/>
      <c r="J25" s="9"/>
      <c r="K25" s="9"/>
      <c r="L25" s="9"/>
      <c r="M25" s="9"/>
      <c r="N25" s="9"/>
    </row>
    <row r="26" spans="1:14">
      <c r="A26" s="12" t="s">
        <v>24</v>
      </c>
      <c r="B26" s="13"/>
      <c r="C26" s="13"/>
      <c r="D26" s="13"/>
      <c r="E26" s="13"/>
      <c r="F26" s="14"/>
      <c r="G26" s="20">
        <f>[23]Sheet1!$E$4</f>
        <v>58</v>
      </c>
      <c r="H26" s="4"/>
      <c r="I26" s="4"/>
      <c r="J26" s="9"/>
      <c r="K26" s="9"/>
      <c r="L26" s="9"/>
      <c r="M26" s="9"/>
      <c r="N26" s="9"/>
    </row>
    <row r="27" spans="1:14">
      <c r="A27" s="12" t="str">
        <f>[24]Sheet1!$A$1</f>
        <v>晨鸣云豹双胶纸58克889*1194平板</v>
      </c>
      <c r="B27" s="13"/>
      <c r="C27" s="13"/>
      <c r="D27" s="13"/>
      <c r="E27" s="13"/>
      <c r="F27" s="14"/>
      <c r="G27" s="20">
        <f>[24]Sheet1!$E$5</f>
        <v>45.5</v>
      </c>
      <c r="H27" s="4"/>
      <c r="I27" s="4"/>
      <c r="J27" s="9"/>
      <c r="K27" s="9"/>
      <c r="L27" s="9"/>
      <c r="M27" s="9"/>
      <c r="N27" s="9"/>
    </row>
    <row r="28" spans="1:14">
      <c r="A28" s="12" t="str">
        <f>[25]Sheet1!$A$1</f>
        <v>晨鸣云鹤本白纸60克880*1230平板</v>
      </c>
      <c r="B28" s="13"/>
      <c r="C28" s="13"/>
      <c r="D28" s="13"/>
      <c r="E28" s="13"/>
      <c r="F28" s="14"/>
      <c r="G28" s="20">
        <f>[25]Sheet1!$E$20</f>
        <v>31.4</v>
      </c>
      <c r="H28" s="4"/>
      <c r="I28" s="4"/>
      <c r="J28" s="9"/>
      <c r="K28" s="9"/>
      <c r="L28" s="9"/>
      <c r="M28" s="9"/>
      <c r="N28" s="9"/>
    </row>
    <row r="29" spans="1:14">
      <c r="A29" s="12" t="str">
        <f>[26]Sheet1!$A$1</f>
        <v>晨鸣汉阳云鹤本白纸65克787*1092平板</v>
      </c>
      <c r="B29" s="13"/>
      <c r="C29" s="13"/>
      <c r="D29" s="13"/>
      <c r="E29" s="13"/>
      <c r="F29" s="14"/>
      <c r="G29" s="20">
        <f>[26]Sheet1!$E$9</f>
        <v>220</v>
      </c>
      <c r="H29" s="4"/>
      <c r="I29" s="4"/>
      <c r="J29" s="9"/>
      <c r="K29" s="9"/>
      <c r="L29" s="9"/>
      <c r="M29" s="9"/>
      <c r="N29" s="9"/>
    </row>
    <row r="30" spans="1:14">
      <c r="A30" s="12" t="str">
        <f>[27]Sheet1!$A$1</f>
        <v>晨鸣汉阳云鹤本白纸70克787*1092平板</v>
      </c>
      <c r="B30" s="13"/>
      <c r="C30" s="13"/>
      <c r="D30" s="13"/>
      <c r="E30" s="13"/>
      <c r="F30" s="14"/>
      <c r="G30" s="20">
        <f>[27]Sheet1!$E$13</f>
        <v>348</v>
      </c>
      <c r="H30" s="4"/>
      <c r="I30" s="4"/>
      <c r="J30" s="9"/>
      <c r="K30" s="9"/>
      <c r="L30" s="9"/>
      <c r="M30" s="9"/>
      <c r="N30" s="9"/>
    </row>
    <row r="31" spans="1:14">
      <c r="A31" s="12" t="str">
        <f>[28]Sheet1!$A$1</f>
        <v>晨鸣云狮原白双胶纸58克720卷筒</v>
      </c>
      <c r="B31" s="13"/>
      <c r="C31" s="13"/>
      <c r="D31" s="13"/>
      <c r="E31" s="13"/>
      <c r="F31" s="14"/>
      <c r="G31" s="20">
        <f>[28]Sheet1!$H$21</f>
        <v>20.049</v>
      </c>
      <c r="H31" s="4"/>
      <c r="I31" s="4"/>
      <c r="J31" s="9"/>
      <c r="K31" s="9"/>
      <c r="L31" s="9"/>
      <c r="M31" s="9"/>
      <c r="N31" s="9"/>
    </row>
    <row r="32" spans="1:14">
      <c r="A32" s="12" t="str">
        <f>[29]Sheet1!$A$1</f>
        <v>晨鸣皓玉58克双胶纸889*1194平板</v>
      </c>
      <c r="B32" s="13"/>
      <c r="C32" s="13"/>
      <c r="D32" s="13"/>
      <c r="E32" s="13"/>
      <c r="F32" s="14"/>
      <c r="G32" s="20">
        <f>[29]Sheet1!$E$12</f>
        <v>32.5</v>
      </c>
      <c r="H32" s="4"/>
      <c r="I32" s="4"/>
      <c r="J32" s="9"/>
      <c r="K32" s="9"/>
      <c r="L32" s="9"/>
      <c r="M32" s="9"/>
      <c r="N32" s="9"/>
    </row>
    <row r="33" ht="14.25" spans="1:14">
      <c r="A33" s="12" t="s">
        <v>25</v>
      </c>
      <c r="B33" s="13"/>
      <c r="C33" s="13"/>
      <c r="D33" s="13"/>
      <c r="E33" s="13"/>
      <c r="F33" s="14"/>
      <c r="G33" s="21">
        <f>[10]Sheet1!$H$6</f>
        <v>2.149</v>
      </c>
      <c r="H33" s="4"/>
      <c r="I33" s="4"/>
      <c r="J33" s="9"/>
      <c r="K33" s="9"/>
      <c r="L33" s="9"/>
      <c r="M33" s="9"/>
      <c r="N33" s="9"/>
    </row>
    <row r="34" spans="1:14">
      <c r="A34" s="12" t="s">
        <v>26</v>
      </c>
      <c r="B34" s="13"/>
      <c r="C34" s="13"/>
      <c r="D34" s="13"/>
      <c r="E34" s="13"/>
      <c r="F34" s="14"/>
      <c r="G34" s="4">
        <f>[11]Sheet1!$E$8</f>
        <v>12.5</v>
      </c>
      <c r="H34" s="4"/>
      <c r="I34" s="4"/>
      <c r="J34" s="9"/>
      <c r="K34" s="9"/>
      <c r="L34" s="9"/>
      <c r="M34" s="9"/>
      <c r="N34" s="9"/>
    </row>
    <row r="35" spans="1:14">
      <c r="A35" s="12"/>
      <c r="B35" s="13"/>
      <c r="C35" s="13"/>
      <c r="D35" s="13"/>
      <c r="E35" s="13"/>
      <c r="F35" s="14"/>
      <c r="H35" s="4"/>
      <c r="I35" s="4"/>
      <c r="J35" s="9"/>
      <c r="K35" s="9"/>
      <c r="L35" s="9"/>
      <c r="M35" s="9"/>
      <c r="N35" s="9"/>
    </row>
    <row r="36" ht="14.25" spans="1:14">
      <c r="A36" s="12" t="s">
        <v>27</v>
      </c>
      <c r="B36" s="13"/>
      <c r="C36" s="13"/>
      <c r="D36" s="13"/>
      <c r="E36" s="13"/>
      <c r="F36" s="14"/>
      <c r="G36" s="21">
        <f>[30]Sheet1!$E$21</f>
        <v>114.5</v>
      </c>
      <c r="H36" s="4"/>
      <c r="I36" s="4"/>
      <c r="J36" s="9"/>
      <c r="K36" s="9"/>
      <c r="L36" s="9"/>
      <c r="M36" s="9"/>
      <c r="N36" s="9"/>
    </row>
    <row r="37" spans="1:14">
      <c r="A37" s="12" t="str">
        <f>[31]Sheet1!$A$1</f>
        <v>地龙双胶纸58克787卷筒</v>
      </c>
      <c r="B37" s="13"/>
      <c r="C37" s="13"/>
      <c r="D37" s="13"/>
      <c r="E37" s="13"/>
      <c r="F37" s="14"/>
      <c r="G37" s="4">
        <f>[31]Sheet1!$H$6</f>
        <v>6.017</v>
      </c>
      <c r="H37" s="4"/>
      <c r="I37" s="4"/>
      <c r="J37" s="9"/>
      <c r="K37" s="9"/>
      <c r="L37" s="9"/>
      <c r="M37" s="9"/>
      <c r="N37" s="9"/>
    </row>
    <row r="38" spans="1:14">
      <c r="A38" s="12" t="s">
        <v>28</v>
      </c>
      <c r="B38" s="13"/>
      <c r="C38" s="13"/>
      <c r="D38" s="13"/>
      <c r="E38" s="13"/>
      <c r="F38" s="14"/>
      <c r="G38" s="4">
        <f>[32]Sheet1!$E$35</f>
        <v>84</v>
      </c>
      <c r="H38" s="4"/>
      <c r="I38" s="4"/>
      <c r="J38" s="9"/>
      <c r="K38" s="9"/>
      <c r="L38" s="9"/>
      <c r="M38" s="9"/>
      <c r="N38" s="9"/>
    </row>
    <row r="39" spans="1:14">
      <c r="A39" s="12" t="str">
        <f>[33]Sheet1!$A$1</f>
        <v>地龙双胶纸58克870*1194平板</v>
      </c>
      <c r="B39" s="13"/>
      <c r="C39" s="13"/>
      <c r="D39" s="13"/>
      <c r="E39" s="13"/>
      <c r="F39" s="14"/>
      <c r="G39" s="4">
        <f>[33]Sheet1!$E$4</f>
        <v>11</v>
      </c>
      <c r="H39" s="4"/>
      <c r="I39" s="4"/>
      <c r="J39" s="9"/>
      <c r="K39" s="9"/>
      <c r="L39" s="9"/>
      <c r="M39" s="9"/>
      <c r="N39" s="9"/>
    </row>
    <row r="40" ht="14.25" spans="1:14">
      <c r="A40" s="12" t="s">
        <v>29</v>
      </c>
      <c r="B40" s="13"/>
      <c r="C40" s="13"/>
      <c r="D40" s="13"/>
      <c r="E40" s="13"/>
      <c r="F40" s="14"/>
      <c r="G40" s="22">
        <f>[34]Sheet1!$E$33</f>
        <v>40.2</v>
      </c>
      <c r="H40" s="4"/>
      <c r="I40" s="4"/>
      <c r="J40" s="9"/>
      <c r="K40" s="9"/>
      <c r="L40" s="9"/>
      <c r="M40" s="9"/>
      <c r="N40" s="9"/>
    </row>
    <row r="41" spans="1:14">
      <c r="A41" s="12" t="s">
        <v>30</v>
      </c>
      <c r="B41" s="13"/>
      <c r="C41" s="13"/>
      <c r="D41" s="13"/>
      <c r="E41" s="13"/>
      <c r="F41" s="14"/>
      <c r="G41" s="4">
        <f>[35]Sheet1!$E$7</f>
        <v>15.5</v>
      </c>
      <c r="H41" s="4"/>
      <c r="I41" s="4"/>
      <c r="J41" s="9"/>
      <c r="K41" s="9"/>
      <c r="L41" s="9"/>
      <c r="M41" s="9"/>
      <c r="N41" s="9"/>
    </row>
    <row r="42" ht="14.25" spans="1:14">
      <c r="A42" s="12" t="s">
        <v>31</v>
      </c>
      <c r="B42" s="13"/>
      <c r="C42" s="13"/>
      <c r="D42" s="13"/>
      <c r="E42" s="13"/>
      <c r="F42" s="14"/>
      <c r="G42" s="21">
        <f>[36]Sheet1!$H$9</f>
        <v>8.238</v>
      </c>
      <c r="H42" s="4"/>
      <c r="I42" s="4"/>
      <c r="J42" s="9"/>
      <c r="K42" s="9"/>
      <c r="L42" s="9"/>
      <c r="M42" s="9"/>
      <c r="N42" s="9"/>
    </row>
    <row r="43" ht="14.25" spans="1:14">
      <c r="A43" s="12" t="str">
        <f>[37]Sheet1!$A$1</f>
        <v>地龙65克双胶纸720*1000</v>
      </c>
      <c r="B43" s="13"/>
      <c r="C43" s="13"/>
      <c r="D43" s="13"/>
      <c r="E43" s="13"/>
      <c r="F43" s="14"/>
      <c r="G43" s="21">
        <f>[37]Sheet1!$E$37</f>
        <v>64.8</v>
      </c>
      <c r="H43" s="4"/>
      <c r="I43" s="4"/>
      <c r="J43" s="9"/>
      <c r="K43" s="9"/>
      <c r="L43" s="9"/>
      <c r="M43" s="9"/>
      <c r="N43" s="9"/>
    </row>
    <row r="44" ht="14.25" spans="1:14">
      <c r="A44" s="12" t="s">
        <v>32</v>
      </c>
      <c r="B44" s="13"/>
      <c r="C44" s="13"/>
      <c r="D44" s="13"/>
      <c r="E44" s="13"/>
      <c r="F44" s="14"/>
      <c r="G44" s="21">
        <f>[38]Sheet1!$E$14</f>
        <v>16.6</v>
      </c>
      <c r="H44" s="4"/>
      <c r="I44" s="4"/>
      <c r="J44" s="9"/>
      <c r="K44" s="9"/>
      <c r="L44" s="9"/>
      <c r="M44" s="9"/>
      <c r="N44" s="9"/>
    </row>
    <row r="45" ht="14.25" spans="1:14">
      <c r="A45" s="12" t="s">
        <v>33</v>
      </c>
      <c r="B45" s="13"/>
      <c r="C45" s="13"/>
      <c r="D45" s="13"/>
      <c r="E45" s="13"/>
      <c r="F45" s="14"/>
      <c r="G45" s="21">
        <f>[39]Sheet1!$E$11</f>
        <v>48.4</v>
      </c>
      <c r="H45" s="4"/>
      <c r="I45" s="4"/>
      <c r="J45" s="9"/>
      <c r="K45" s="9"/>
      <c r="L45" s="9"/>
      <c r="M45" s="9"/>
      <c r="N45" s="9"/>
    </row>
    <row r="46" spans="1:14">
      <c r="A46" s="12" t="s">
        <v>34</v>
      </c>
      <c r="B46" s="13"/>
      <c r="C46" s="13"/>
      <c r="D46" s="13"/>
      <c r="E46" s="13"/>
      <c r="F46" s="14"/>
      <c r="G46" s="23">
        <f>[40]Sheet1!$E$13</f>
        <v>23</v>
      </c>
      <c r="H46" s="4"/>
      <c r="I46" s="4"/>
      <c r="J46" s="9"/>
      <c r="K46" s="9"/>
      <c r="L46" s="9"/>
      <c r="M46" s="9"/>
      <c r="N46" s="9"/>
    </row>
    <row r="47" spans="1:14">
      <c r="A47" s="12" t="str">
        <f>[41]Sheet1!$A$1</f>
        <v>地龙双胶纸68克900*1194平板</v>
      </c>
      <c r="B47" s="13"/>
      <c r="C47" s="13"/>
      <c r="D47" s="13"/>
      <c r="E47" s="13"/>
      <c r="F47" s="14"/>
      <c r="G47" s="23">
        <f>[41]Sheet1!$E$6</f>
        <v>4</v>
      </c>
      <c r="H47" s="4"/>
      <c r="I47" s="4"/>
      <c r="J47" s="9"/>
      <c r="K47" s="9"/>
      <c r="L47" s="9"/>
      <c r="M47" s="9"/>
      <c r="N47" s="9"/>
    </row>
    <row r="48" spans="1:14">
      <c r="A48" s="12" t="s">
        <v>35</v>
      </c>
      <c r="B48" s="13"/>
      <c r="C48" s="13"/>
      <c r="D48" s="13"/>
      <c r="E48" s="13"/>
      <c r="F48" s="14"/>
      <c r="G48" s="4">
        <f>[42]Sheet1!$E$9</f>
        <v>39</v>
      </c>
      <c r="H48" s="4"/>
      <c r="I48" s="4"/>
      <c r="J48" s="9"/>
      <c r="K48" s="9"/>
      <c r="L48" s="9"/>
      <c r="M48" s="9"/>
      <c r="N48" s="9"/>
    </row>
    <row r="49" spans="1:14">
      <c r="A49" s="12" t="s">
        <v>36</v>
      </c>
      <c r="B49" s="13"/>
      <c r="C49" s="13"/>
      <c r="D49" s="13"/>
      <c r="E49" s="13"/>
      <c r="F49" s="14"/>
      <c r="G49" s="4">
        <f>[43]Sheet1!$H$12</f>
        <v>1.136</v>
      </c>
      <c r="H49" s="4"/>
      <c r="I49" s="4"/>
      <c r="J49" s="9"/>
      <c r="K49" s="9"/>
      <c r="L49" s="9"/>
      <c r="M49" s="9"/>
      <c r="N49" s="9"/>
    </row>
    <row r="50" spans="1:14">
      <c r="A50" s="12" t="s">
        <v>37</v>
      </c>
      <c r="B50" s="13"/>
      <c r="C50" s="13"/>
      <c r="D50" s="13"/>
      <c r="E50" s="13"/>
      <c r="F50" s="14"/>
      <c r="G50" s="4">
        <f>[44]Sheet1!$E$8</f>
        <v>124</v>
      </c>
      <c r="H50" s="4"/>
      <c r="I50" s="4"/>
      <c r="J50" s="9"/>
      <c r="K50" s="9"/>
      <c r="L50" s="9"/>
      <c r="M50" s="9"/>
      <c r="N50" s="9"/>
    </row>
    <row r="51" spans="1:14">
      <c r="A51" s="12" t="s">
        <v>38</v>
      </c>
      <c r="B51" s="13"/>
      <c r="C51" s="13"/>
      <c r="D51" s="13"/>
      <c r="E51" s="13"/>
      <c r="F51" s="14"/>
      <c r="G51" s="4">
        <f>[45]Sheet1!$E$12</f>
        <v>9</v>
      </c>
      <c r="H51" s="4"/>
      <c r="I51" s="4"/>
      <c r="J51" s="9"/>
      <c r="K51" s="9"/>
      <c r="L51" s="9"/>
      <c r="M51" s="9"/>
      <c r="N51" s="9"/>
    </row>
    <row r="52" spans="1:14">
      <c r="A52" s="12"/>
      <c r="B52" s="13"/>
      <c r="C52" s="13"/>
      <c r="D52" s="13"/>
      <c r="E52" s="13"/>
      <c r="F52" s="14"/>
      <c r="G52" s="4"/>
      <c r="H52" s="4"/>
      <c r="I52" s="4"/>
      <c r="J52" s="9"/>
      <c r="K52" s="9"/>
      <c r="L52" s="9"/>
      <c r="M52" s="9"/>
      <c r="N52" s="9"/>
    </row>
    <row r="53" spans="1:14">
      <c r="A53" s="12" t="s">
        <v>39</v>
      </c>
      <c r="B53" s="13"/>
      <c r="C53" s="13"/>
      <c r="D53" s="13"/>
      <c r="E53" s="13"/>
      <c r="F53" s="14"/>
      <c r="G53" s="4">
        <f>[46]Sheet1!$E$9</f>
        <v>182.2</v>
      </c>
      <c r="H53" s="4"/>
      <c r="I53" s="4"/>
      <c r="J53" s="9"/>
      <c r="K53" s="9"/>
      <c r="L53" s="9"/>
      <c r="M53" s="9"/>
      <c r="N53" s="9"/>
    </row>
    <row r="54" spans="1:14">
      <c r="A54" s="12" t="s">
        <v>40</v>
      </c>
      <c r="B54" s="13"/>
      <c r="C54" s="13"/>
      <c r="D54" s="13"/>
      <c r="E54" s="13"/>
      <c r="F54" s="14"/>
      <c r="G54" s="4">
        <f>[47]Sheet1!$H$8</f>
        <v>3.2</v>
      </c>
      <c r="H54" s="4"/>
      <c r="I54" s="4"/>
      <c r="J54" s="9"/>
      <c r="K54" s="9"/>
      <c r="L54" s="9"/>
      <c r="M54" s="9"/>
      <c r="N54" s="9"/>
    </row>
    <row r="55" spans="1:14">
      <c r="A55" s="12" t="str">
        <f>[48]Sheet1!$A$1</f>
        <v>法国轻涂纸70克800卷筒</v>
      </c>
      <c r="B55" s="13"/>
      <c r="C55" s="13"/>
      <c r="D55" s="13"/>
      <c r="E55" s="13"/>
      <c r="F55" s="14"/>
      <c r="G55" s="4">
        <f>[48]Sheet1!$H$5</f>
        <v>6.178</v>
      </c>
      <c r="H55" s="4"/>
      <c r="I55" s="4"/>
      <c r="J55" s="9"/>
      <c r="K55" s="9"/>
      <c r="L55" s="9"/>
      <c r="M55" s="9"/>
      <c r="N55" s="9"/>
    </row>
    <row r="56" spans="1:14">
      <c r="A56" s="12" t="s">
        <v>41</v>
      </c>
      <c r="B56" s="13"/>
      <c r="C56" s="13"/>
      <c r="D56" s="13"/>
      <c r="E56" s="13"/>
      <c r="F56" s="14"/>
      <c r="G56" s="4">
        <f>[49]Sheet1!$E$5</f>
        <v>11</v>
      </c>
      <c r="H56" s="4"/>
      <c r="I56" s="4"/>
      <c r="J56" s="9"/>
      <c r="K56" s="9"/>
      <c r="L56" s="9"/>
      <c r="M56" s="9"/>
      <c r="N56" s="9"/>
    </row>
    <row r="57" spans="1:14">
      <c r="A57" s="12"/>
      <c r="B57" s="13"/>
      <c r="C57" s="13"/>
      <c r="D57" s="13"/>
      <c r="E57" s="13"/>
      <c r="F57" s="14"/>
      <c r="G57" s="4"/>
      <c r="H57" s="4"/>
      <c r="I57" s="4"/>
      <c r="J57" s="9"/>
      <c r="K57" s="9"/>
      <c r="L57" s="9"/>
      <c r="M57" s="9"/>
      <c r="N57" s="9"/>
    </row>
    <row r="58" spans="1:14">
      <c r="A58" s="12" t="s">
        <v>42</v>
      </c>
      <c r="B58" s="13"/>
      <c r="C58" s="13"/>
      <c r="D58" s="13"/>
      <c r="E58" s="13"/>
      <c r="F58" s="14"/>
      <c r="G58" s="4">
        <f>[50]Sheet1!$H$27</f>
        <v>19.945</v>
      </c>
      <c r="H58" s="4"/>
      <c r="I58" s="4"/>
      <c r="J58" s="9"/>
      <c r="K58" s="9"/>
      <c r="L58" s="9"/>
      <c r="M58" s="9"/>
      <c r="N58" s="9"/>
    </row>
    <row r="59" spans="1:14">
      <c r="A59" s="12" t="s">
        <v>43</v>
      </c>
      <c r="B59" s="13"/>
      <c r="C59" s="13"/>
      <c r="D59" s="13"/>
      <c r="E59" s="13"/>
      <c r="F59" s="14"/>
      <c r="G59" s="4">
        <f>[51]Sheet1!$H$39</f>
        <v>30.723</v>
      </c>
      <c r="H59" s="4"/>
      <c r="I59" s="4"/>
      <c r="J59" s="9"/>
      <c r="K59" s="9"/>
      <c r="L59" s="9"/>
      <c r="M59" s="9"/>
      <c r="N59" s="9"/>
    </row>
    <row r="60" spans="1:14">
      <c r="A60" s="12" t="str">
        <f>[52]Sheet1!$A$1</f>
        <v>华垦本白纸55克870*1194平板</v>
      </c>
      <c r="B60" s="13"/>
      <c r="C60" s="13"/>
      <c r="D60" s="13"/>
      <c r="E60" s="13"/>
      <c r="F60" s="14"/>
      <c r="G60" s="4">
        <f>[52]Sheet1!$E$9</f>
        <v>5.8</v>
      </c>
      <c r="H60" s="4"/>
      <c r="I60" s="4"/>
      <c r="J60" s="9"/>
      <c r="K60" s="9"/>
      <c r="L60" s="9"/>
      <c r="M60" s="9"/>
      <c r="N60" s="9"/>
    </row>
    <row r="61" spans="1:14">
      <c r="A61" s="12" t="str">
        <f>[53]Sheet1!$A$1</f>
        <v>华垦本白纸55克889卷筒</v>
      </c>
      <c r="B61" s="13"/>
      <c r="C61" s="13"/>
      <c r="D61" s="13"/>
      <c r="E61" s="13"/>
      <c r="F61" s="14"/>
      <c r="G61" s="4">
        <f>[53]Sheet1!$H$7</f>
        <v>14.262</v>
      </c>
      <c r="H61" s="4"/>
      <c r="I61" s="4"/>
      <c r="J61" s="9"/>
      <c r="K61" s="9"/>
      <c r="L61" s="9"/>
      <c r="M61" s="9"/>
      <c r="N61" s="9"/>
    </row>
    <row r="62" spans="1:14">
      <c r="A62" s="12" t="s">
        <v>44</v>
      </c>
      <c r="B62" s="13"/>
      <c r="C62" s="13"/>
      <c r="D62" s="13"/>
      <c r="E62" s="13"/>
      <c r="F62" s="14"/>
      <c r="G62" s="4">
        <f>[54]Sheet1!$E$11</f>
        <v>19.5</v>
      </c>
      <c r="H62" s="4"/>
      <c r="I62" s="4"/>
      <c r="J62" s="9"/>
      <c r="K62" s="9"/>
      <c r="L62" s="9"/>
      <c r="M62" s="9"/>
      <c r="N62" s="9"/>
    </row>
    <row r="63" spans="1:14">
      <c r="A63" s="12" t="s">
        <v>45</v>
      </c>
      <c r="B63" s="13"/>
      <c r="C63" s="13"/>
      <c r="D63" s="13"/>
      <c r="E63" s="13"/>
      <c r="F63" s="14"/>
      <c r="G63" s="4">
        <f>[55]Sheet1!$E$7</f>
        <v>40</v>
      </c>
      <c r="H63" s="4"/>
      <c r="I63" s="4"/>
      <c r="J63" s="9"/>
      <c r="K63" s="9"/>
      <c r="L63" s="9"/>
      <c r="M63" s="9"/>
      <c r="N63" s="9"/>
    </row>
    <row r="64" spans="1:14">
      <c r="A64" s="12"/>
      <c r="B64" s="13"/>
      <c r="C64" s="13"/>
      <c r="D64" s="13"/>
      <c r="E64" s="13"/>
      <c r="F64" s="14"/>
      <c r="G64" s="4"/>
      <c r="H64" s="4"/>
      <c r="I64" s="4"/>
      <c r="J64" s="9"/>
      <c r="K64" s="9"/>
      <c r="L64" s="9"/>
      <c r="M64" s="9"/>
      <c r="N64" s="9"/>
    </row>
    <row r="65" spans="1:14">
      <c r="A65" s="12" t="s">
        <v>46</v>
      </c>
      <c r="B65" s="13"/>
      <c r="C65" s="13"/>
      <c r="D65" s="13"/>
      <c r="E65" s="13"/>
      <c r="F65" s="14"/>
      <c r="G65" s="4">
        <f>[56]Sheet1!$E$6</f>
        <v>8</v>
      </c>
      <c r="H65" s="4"/>
      <c r="I65" s="4"/>
      <c r="J65" s="9"/>
      <c r="K65" s="9"/>
      <c r="L65" s="9"/>
      <c r="M65" s="9"/>
      <c r="N65" s="9"/>
    </row>
    <row r="66" spans="1:14">
      <c r="A66" s="12" t="s">
        <v>47</v>
      </c>
      <c r="B66" s="13"/>
      <c r="C66" s="13"/>
      <c r="D66" s="13"/>
      <c r="E66" s="13"/>
      <c r="F66" s="14"/>
      <c r="G66" s="4">
        <f>[57]Sheet1!$E$4</f>
        <v>40</v>
      </c>
      <c r="H66" s="4"/>
      <c r="I66" s="4"/>
      <c r="J66" s="9"/>
      <c r="K66" s="9"/>
      <c r="L66" s="9"/>
      <c r="M66" s="9"/>
      <c r="N66" s="9"/>
    </row>
    <row r="67" spans="1:14">
      <c r="A67" s="12" t="s">
        <v>48</v>
      </c>
      <c r="B67" s="13"/>
      <c r="C67" s="13"/>
      <c r="D67" s="13"/>
      <c r="E67" s="13"/>
      <c r="F67" s="14"/>
      <c r="G67" s="4">
        <f>[58]Sheet1!$E$5</f>
        <v>4</v>
      </c>
      <c r="H67" s="4"/>
      <c r="I67" s="4"/>
      <c r="J67" s="9"/>
      <c r="K67" s="9"/>
      <c r="L67" s="9"/>
      <c r="M67" s="9"/>
      <c r="N67" s="9"/>
    </row>
    <row r="68" spans="1:14">
      <c r="A68" s="12" t="str">
        <f>[59]Sheet1!$A$1</f>
        <v>金阳双胶纸74克857*1092平板</v>
      </c>
      <c r="B68" s="13"/>
      <c r="C68" s="13"/>
      <c r="D68" s="13"/>
      <c r="E68" s="13"/>
      <c r="F68" s="14"/>
      <c r="G68" s="4">
        <f>[59]Sheet1!$E$4</f>
        <v>18</v>
      </c>
      <c r="H68" s="4"/>
      <c r="I68" s="4"/>
      <c r="J68" s="9"/>
      <c r="K68" s="9"/>
      <c r="L68" s="9"/>
      <c r="M68" s="9"/>
      <c r="N68" s="9"/>
    </row>
    <row r="69" ht="14.25" spans="1:14">
      <c r="A69" s="12" t="s">
        <v>49</v>
      </c>
      <c r="B69" s="13"/>
      <c r="C69" s="13"/>
      <c r="D69" s="13"/>
      <c r="E69" s="13"/>
      <c r="F69" s="14"/>
      <c r="G69" s="21">
        <f>[60]Sheet1!$H$5</f>
        <v>4.551</v>
      </c>
      <c r="H69" s="4"/>
      <c r="I69" s="9"/>
      <c r="J69" s="9"/>
      <c r="K69" s="9"/>
      <c r="L69" s="9"/>
      <c r="M69" s="9"/>
      <c r="N69" s="9"/>
    </row>
    <row r="70" ht="14.25" spans="1:14">
      <c r="A70" s="12" t="str">
        <f>[61]Sheet1!$A$1</f>
        <v>金阳双胶纸84克889*1194平板</v>
      </c>
      <c r="B70" s="13"/>
      <c r="C70" s="13"/>
      <c r="D70" s="13"/>
      <c r="E70" s="13"/>
      <c r="F70" s="14"/>
      <c r="G70" s="21">
        <f>[61]Sheet1!$E$5</f>
        <v>26.4</v>
      </c>
      <c r="H70" s="4"/>
      <c r="I70" s="4"/>
      <c r="J70" s="9"/>
      <c r="K70" s="9"/>
      <c r="L70" s="9"/>
      <c r="M70" s="9"/>
      <c r="N70" s="9"/>
    </row>
    <row r="71" ht="14.25" spans="1:14">
      <c r="A71" s="12" t="s">
        <v>50</v>
      </c>
      <c r="B71" s="13"/>
      <c r="C71" s="13"/>
      <c r="D71" s="13"/>
      <c r="E71" s="13"/>
      <c r="F71" s="14"/>
      <c r="G71" s="21">
        <f>[62]Sheet1!$E$4</f>
        <v>60</v>
      </c>
      <c r="H71" s="4"/>
      <c r="I71" s="4"/>
      <c r="J71" s="9"/>
      <c r="K71" s="9"/>
      <c r="L71" s="9"/>
      <c r="M71" s="9"/>
      <c r="N71" s="9"/>
    </row>
    <row r="72" spans="1:14">
      <c r="A72" s="12" t="s">
        <v>51</v>
      </c>
      <c r="B72" s="13"/>
      <c r="C72" s="13"/>
      <c r="D72" s="13"/>
      <c r="E72" s="13"/>
      <c r="F72" s="14"/>
      <c r="G72" s="4">
        <f>[63]Sheet1!$E$4</f>
        <v>140.4</v>
      </c>
      <c r="H72" s="4"/>
      <c r="I72" s="4"/>
      <c r="J72" s="9"/>
      <c r="K72" s="9"/>
      <c r="L72" s="9"/>
      <c r="M72" s="9"/>
      <c r="N72" s="9"/>
    </row>
    <row r="73" spans="1:14">
      <c r="A73" s="12" t="str">
        <f>[64]Sheet1!$A$1</f>
        <v>金阳双胶纸110克800*1092平板</v>
      </c>
      <c r="B73" s="13"/>
      <c r="C73" s="13"/>
      <c r="D73" s="13"/>
      <c r="E73" s="13"/>
      <c r="F73" s="14"/>
      <c r="G73" s="4">
        <f>[64]Sheet1!$E$4</f>
        <v>11</v>
      </c>
      <c r="H73" s="4"/>
      <c r="I73" s="4"/>
      <c r="J73" s="9"/>
      <c r="K73" s="9"/>
      <c r="L73" s="9"/>
      <c r="M73" s="9"/>
      <c r="N73" s="9"/>
    </row>
    <row r="74" spans="1:14">
      <c r="A74" s="12" t="s">
        <v>52</v>
      </c>
      <c r="B74" s="13"/>
      <c r="C74" s="13"/>
      <c r="D74" s="13"/>
      <c r="E74" s="13"/>
      <c r="F74" s="14"/>
      <c r="G74" s="4">
        <f>[65]Sheet1!$E$7</f>
        <v>27.98</v>
      </c>
      <c r="H74" s="4"/>
      <c r="I74" s="4"/>
      <c r="J74" s="9"/>
      <c r="K74" s="9"/>
      <c r="L74" s="9"/>
      <c r="M74" s="9"/>
      <c r="N74" s="9"/>
    </row>
    <row r="75" spans="1:14">
      <c r="A75" s="12" t="s">
        <v>53</v>
      </c>
      <c r="B75" s="13"/>
      <c r="C75" s="13"/>
      <c r="D75" s="13"/>
      <c r="E75" s="13"/>
      <c r="F75" s="14"/>
      <c r="G75" s="4">
        <f>[66]Sheet1!$H$5</f>
        <v>1.183</v>
      </c>
      <c r="H75" s="4"/>
      <c r="I75" s="9"/>
      <c r="J75" s="9"/>
      <c r="K75" s="9"/>
      <c r="L75" s="9"/>
      <c r="M75" s="9"/>
      <c r="N75" s="9"/>
    </row>
    <row r="76" spans="1:14">
      <c r="A76" s="12" t="str">
        <f>[67]Sheet1!$A$1</f>
        <v>山东德州华北轻型纸58克889*1194平板</v>
      </c>
      <c r="B76" s="13"/>
      <c r="C76" s="13"/>
      <c r="D76" s="13"/>
      <c r="E76" s="13"/>
      <c r="F76" s="14"/>
      <c r="G76" s="4">
        <f>[67]Sheet1!$E$20</f>
        <v>96.8</v>
      </c>
      <c r="H76" s="4"/>
      <c r="I76" s="4"/>
      <c r="J76" s="9"/>
      <c r="K76" s="9"/>
      <c r="L76" s="9"/>
      <c r="M76" s="9"/>
      <c r="N76" s="9"/>
    </row>
    <row r="77" spans="1:14">
      <c r="A77" s="12"/>
      <c r="B77" s="13"/>
      <c r="C77" s="13"/>
      <c r="D77" s="13"/>
      <c r="E77" s="13"/>
      <c r="F77" s="14"/>
      <c r="G77" s="4"/>
      <c r="H77" s="4"/>
      <c r="I77" s="4"/>
      <c r="J77" s="9"/>
      <c r="K77" s="9"/>
      <c r="L77" s="9"/>
      <c r="M77" s="9"/>
      <c r="N77" s="9"/>
    </row>
    <row r="78" spans="1:14">
      <c r="A78" s="12" t="str">
        <f>[68]Sheet1!$A$1</f>
        <v>太阳本白纸55克870*1194平板</v>
      </c>
      <c r="B78" s="13"/>
      <c r="C78" s="13"/>
      <c r="D78" s="13"/>
      <c r="E78" s="13"/>
      <c r="F78" s="14"/>
      <c r="G78" s="4">
        <f>[68]Sheet1!$E$16</f>
        <v>3.6</v>
      </c>
      <c r="H78" s="4"/>
      <c r="I78" s="4"/>
      <c r="J78" s="9"/>
      <c r="K78" s="9"/>
      <c r="L78" s="9"/>
      <c r="M78" s="9"/>
      <c r="N78" s="9"/>
    </row>
    <row r="79" spans="1:14">
      <c r="A79" s="12" t="str">
        <f>[69]Sheet1!$A$1</f>
        <v>太阳本白纸55克889*1194平板</v>
      </c>
      <c r="B79" s="13"/>
      <c r="C79" s="13"/>
      <c r="D79" s="13"/>
      <c r="E79" s="13"/>
      <c r="F79" s="14"/>
      <c r="G79" s="4">
        <f>[69]Sheet1!$E$18</f>
        <v>41.2</v>
      </c>
      <c r="H79" s="4"/>
      <c r="I79" s="4"/>
      <c r="J79" s="9"/>
      <c r="K79" s="9"/>
      <c r="L79" s="9"/>
      <c r="M79" s="9"/>
      <c r="N79" s="9"/>
    </row>
    <row r="80" spans="1:14">
      <c r="A80" s="12" t="str">
        <f>[70]Sheet1!$A$1</f>
        <v>太阳本白纸58克720*1000平板</v>
      </c>
      <c r="B80" s="13"/>
      <c r="C80" s="13"/>
      <c r="D80" s="13"/>
      <c r="E80" s="13"/>
      <c r="F80" s="14"/>
      <c r="G80" s="4">
        <f>[70]Sheet1!$E$25</f>
        <v>16.2</v>
      </c>
      <c r="H80" s="4"/>
      <c r="I80" s="4"/>
      <c r="J80" s="9"/>
      <c r="K80" s="9"/>
      <c r="L80" s="9"/>
      <c r="M80" s="9"/>
      <c r="N80" s="9"/>
    </row>
    <row r="81" spans="1:14">
      <c r="A81" s="12" t="str">
        <f>[71]Sheet1!$A$1</f>
        <v>太阳本白纸58克787*1092平板</v>
      </c>
      <c r="B81" s="13"/>
      <c r="C81" s="13"/>
      <c r="D81" s="13"/>
      <c r="E81" s="13"/>
      <c r="F81" s="14"/>
      <c r="G81" s="4">
        <f>[71]Sheet1!$E$6</f>
        <v>759</v>
      </c>
      <c r="H81" s="4"/>
      <c r="I81" s="4"/>
      <c r="J81" s="9"/>
      <c r="K81" s="9"/>
      <c r="L81" s="9"/>
      <c r="M81" s="9"/>
      <c r="N81" s="9"/>
    </row>
    <row r="82" spans="1:14">
      <c r="A82" s="12" t="str">
        <f>[72]Sheet1!$A$1</f>
        <v>太阳本白纸65克787*1092平板</v>
      </c>
      <c r="B82" s="13"/>
      <c r="C82" s="13"/>
      <c r="D82" s="13"/>
      <c r="E82" s="13"/>
      <c r="F82" s="14"/>
      <c r="G82" s="4">
        <f>[72]Sheet1!$E$15</f>
        <v>25</v>
      </c>
      <c r="H82" s="4"/>
      <c r="I82" s="4"/>
      <c r="J82" s="9"/>
      <c r="K82" s="9"/>
      <c r="L82" s="9"/>
      <c r="M82" s="9"/>
      <c r="N82" s="9"/>
    </row>
    <row r="83" spans="1:14">
      <c r="A83" s="12" t="str">
        <f>[73]Sheet1!$A$1</f>
        <v>太阳本白纸65克889卷筒</v>
      </c>
      <c r="B83" s="13"/>
      <c r="C83" s="13"/>
      <c r="D83" s="13"/>
      <c r="E83" s="13"/>
      <c r="F83" s="14"/>
      <c r="G83" s="4">
        <f>[73]Sheet1!$H$7</f>
        <v>3.222</v>
      </c>
      <c r="H83" s="4"/>
      <c r="I83" s="9"/>
      <c r="J83" s="9"/>
      <c r="K83" s="9"/>
      <c r="L83" s="9"/>
      <c r="M83" s="9"/>
      <c r="N83" s="9"/>
    </row>
    <row r="84" spans="1:14">
      <c r="A84" s="12" t="str">
        <f>[74]Sheet1!$A$1</f>
        <v>太阳本白纸65克889*1194平板</v>
      </c>
      <c r="B84" s="13"/>
      <c r="C84" s="13"/>
      <c r="D84" s="13"/>
      <c r="E84" s="13"/>
      <c r="F84" s="14"/>
      <c r="G84" s="4">
        <f>[74]Sheet1!$E$12</f>
        <v>24.7</v>
      </c>
      <c r="H84" s="4"/>
      <c r="I84" s="4"/>
      <c r="J84" s="9"/>
      <c r="K84" s="9"/>
      <c r="L84" s="9"/>
      <c r="M84" s="9"/>
      <c r="N84" s="9"/>
    </row>
    <row r="85" spans="1:14">
      <c r="A85" s="12" t="str">
        <f>[75]Sheet1!$A$1</f>
        <v>太阳本白纸68克880卷筒</v>
      </c>
      <c r="B85" s="13"/>
      <c r="C85" s="13"/>
      <c r="D85" s="13"/>
      <c r="E85" s="13"/>
      <c r="F85" s="14"/>
      <c r="G85" s="4">
        <f>[75]Sheet1!$H$4</f>
        <v>15.386</v>
      </c>
      <c r="H85" s="4"/>
      <c r="I85" s="9"/>
      <c r="J85" s="9"/>
      <c r="K85" s="9"/>
      <c r="L85" s="9"/>
      <c r="M85" s="9"/>
      <c r="N85" s="9"/>
    </row>
    <row r="86" spans="1:14">
      <c r="A86" s="12" t="str">
        <f>[76]Sheet1!$A$1</f>
        <v>太阳本白纸68克889*1194平板</v>
      </c>
      <c r="B86" s="13"/>
      <c r="C86" s="13"/>
      <c r="D86" s="13"/>
      <c r="E86" s="13"/>
      <c r="F86" s="14"/>
      <c r="G86" s="4">
        <f>[76]Sheet1!$E$43</f>
        <v>20</v>
      </c>
      <c r="H86" s="4"/>
      <c r="I86" s="4"/>
      <c r="J86" s="9"/>
      <c r="K86" s="9"/>
      <c r="L86" s="9"/>
      <c r="M86" s="9"/>
      <c r="N86" s="9"/>
    </row>
    <row r="87" spans="1:14">
      <c r="A87" s="12" t="str">
        <f>[77]Sheet1!$A$1</f>
        <v>太阳本白纸75克787卷筒</v>
      </c>
      <c r="B87" s="13"/>
      <c r="C87" s="13"/>
      <c r="D87" s="13"/>
      <c r="E87" s="13"/>
      <c r="F87" s="14"/>
      <c r="G87" s="4">
        <f>[77]Sheet1!$H$5</f>
        <v>23.808</v>
      </c>
      <c r="H87" s="4"/>
      <c r="I87" s="9"/>
      <c r="J87" s="9"/>
      <c r="K87" s="9"/>
      <c r="L87" s="9"/>
      <c r="M87" s="9"/>
      <c r="N87" s="9"/>
    </row>
    <row r="88" spans="1:14">
      <c r="A88" s="12" t="str">
        <f>[78]Sheet1!$A$1</f>
        <v>太阳本白纸75克787*1092平板</v>
      </c>
      <c r="B88" s="13"/>
      <c r="C88" s="13"/>
      <c r="D88" s="13"/>
      <c r="E88" s="13"/>
      <c r="F88" s="14"/>
      <c r="G88" s="4">
        <f>[78]Sheet1!$E$5</f>
        <v>63</v>
      </c>
      <c r="H88" s="4"/>
      <c r="I88" s="4"/>
      <c r="J88" s="9"/>
      <c r="K88" s="9"/>
      <c r="L88" s="9"/>
      <c r="M88" s="9"/>
      <c r="N88" s="9"/>
    </row>
    <row r="89" spans="1:14">
      <c r="A89" s="12" t="str">
        <f>[79]Sheet1!$A$1</f>
        <v>太阳本白纸75克889卷筒</v>
      </c>
      <c r="B89" s="13"/>
      <c r="C89" s="13"/>
      <c r="D89" s="13"/>
      <c r="E89" s="13"/>
      <c r="F89" s="14"/>
      <c r="G89" s="4">
        <f>[79]Sheet1!$H$6</f>
        <v>13.44</v>
      </c>
      <c r="H89" s="4"/>
      <c r="I89" s="9"/>
      <c r="J89" s="9"/>
      <c r="K89" s="9"/>
      <c r="L89" s="9"/>
      <c r="M89" s="9"/>
      <c r="N89" s="9"/>
    </row>
    <row r="90" spans="1:14">
      <c r="A90" s="12" t="str">
        <f>[80]Sheet1!$A$1</f>
        <v>太阳本白纸75克889*1194平板</v>
      </c>
      <c r="B90" s="13"/>
      <c r="C90" s="13"/>
      <c r="D90" s="13"/>
      <c r="E90" s="13"/>
      <c r="F90" s="14"/>
      <c r="G90" s="4">
        <f>[80]Sheet1!$E$11</f>
        <v>0.2</v>
      </c>
      <c r="H90" s="4"/>
      <c r="I90" s="4"/>
      <c r="J90" s="9"/>
      <c r="K90" s="9"/>
      <c r="L90" s="9"/>
      <c r="M90" s="9"/>
      <c r="N90" s="9"/>
    </row>
    <row r="91" spans="1:14">
      <c r="A91" s="12" t="str">
        <f>[81]Sheet1!$A$1</f>
        <v>太阳本白纸78克787*1092平板</v>
      </c>
      <c r="B91" s="13"/>
      <c r="C91" s="13"/>
      <c r="D91" s="13"/>
      <c r="E91" s="13"/>
      <c r="F91" s="14"/>
      <c r="G91" s="4">
        <f>[81]Sheet1!$E$12</f>
        <v>4</v>
      </c>
      <c r="H91" s="4"/>
      <c r="I91" s="4"/>
      <c r="J91" s="9"/>
      <c r="K91" s="9"/>
      <c r="L91" s="9"/>
      <c r="M91" s="9"/>
      <c r="N91" s="9"/>
    </row>
    <row r="92" spans="1:14">
      <c r="A92" s="12"/>
      <c r="B92" s="13"/>
      <c r="C92" s="13"/>
      <c r="D92" s="13"/>
      <c r="E92" s="13"/>
      <c r="F92" s="14"/>
      <c r="G92" s="4"/>
      <c r="H92" s="4"/>
      <c r="I92" s="4"/>
      <c r="J92" s="9"/>
      <c r="K92" s="9"/>
      <c r="L92" s="9"/>
      <c r="M92" s="9"/>
      <c r="N92" s="9"/>
    </row>
    <row r="93" spans="1:14">
      <c r="A93" s="12" t="s">
        <v>54</v>
      </c>
      <c r="B93" s="13"/>
      <c r="C93" s="13"/>
      <c r="D93" s="13"/>
      <c r="E93" s="13"/>
      <c r="F93" s="14"/>
      <c r="G93" s="4">
        <f>[82]Sheet1!$H$17</f>
        <v>37.812</v>
      </c>
      <c r="H93" s="4"/>
      <c r="I93" s="9"/>
      <c r="J93" s="9"/>
      <c r="K93" s="9"/>
      <c r="L93" s="9"/>
      <c r="M93" s="9"/>
      <c r="N93" s="9"/>
    </row>
    <row r="94" spans="1:14">
      <c r="A94" s="12" t="s">
        <v>55</v>
      </c>
      <c r="B94" s="13"/>
      <c r="C94" s="13"/>
      <c r="D94" s="13"/>
      <c r="E94" s="13"/>
      <c r="F94" s="14"/>
      <c r="G94" s="4">
        <f>[83]Sheet1!$E$14</f>
        <v>66</v>
      </c>
      <c r="H94" s="4"/>
      <c r="I94" s="4"/>
      <c r="J94" s="9"/>
      <c r="K94" s="9"/>
      <c r="L94" s="9"/>
      <c r="M94" s="9"/>
      <c r="N94" s="9"/>
    </row>
    <row r="95" spans="1:14">
      <c r="A95" s="12" t="str">
        <f>[84]Sheet1!$A$1</f>
        <v>太阳轻型纸65克720卷筒</v>
      </c>
      <c r="B95" s="13"/>
      <c r="C95" s="13"/>
      <c r="D95" s="13"/>
      <c r="E95" s="13"/>
      <c r="F95" s="14"/>
      <c r="G95" s="4">
        <f>[84]Sheet1!$H$10</f>
        <v>10.209</v>
      </c>
      <c r="H95" s="4"/>
      <c r="I95" s="9"/>
      <c r="J95" s="9"/>
      <c r="K95" s="9"/>
      <c r="L95" s="9"/>
      <c r="M95" s="9"/>
      <c r="N95" s="9"/>
    </row>
    <row r="96" spans="1:14">
      <c r="A96" s="12" t="s">
        <v>56</v>
      </c>
      <c r="B96" s="13"/>
      <c r="C96" s="13"/>
      <c r="D96" s="13"/>
      <c r="E96" s="13"/>
      <c r="F96" s="14"/>
      <c r="G96" s="4">
        <f>[85]Sheet1!$H$11</f>
        <v>41.219</v>
      </c>
      <c r="H96" s="4"/>
      <c r="I96" s="9"/>
      <c r="J96" s="9"/>
      <c r="K96" s="9"/>
      <c r="L96" s="9"/>
      <c r="M96" s="9"/>
      <c r="N96" s="9"/>
    </row>
    <row r="97" spans="1:14">
      <c r="A97" s="12" t="s">
        <v>57</v>
      </c>
      <c r="B97" s="13"/>
      <c r="C97" s="13"/>
      <c r="D97" s="13"/>
      <c r="E97" s="13"/>
      <c r="F97" s="14"/>
      <c r="G97" s="20">
        <f>[86]Sheet1!$E$9</f>
        <v>466</v>
      </c>
      <c r="H97" s="4"/>
      <c r="I97" s="4"/>
      <c r="J97" s="9"/>
      <c r="K97" s="9"/>
      <c r="L97" s="9"/>
      <c r="M97" s="9"/>
      <c r="N97" s="9"/>
    </row>
    <row r="98" spans="1:14">
      <c r="A98" s="12" t="s">
        <v>58</v>
      </c>
      <c r="B98" s="13"/>
      <c r="C98" s="13"/>
      <c r="D98" s="13"/>
      <c r="E98" s="13"/>
      <c r="F98" s="14"/>
      <c r="G98" s="4">
        <f>[87]Sheet1!$H$13</f>
        <v>39.576</v>
      </c>
      <c r="H98" s="4"/>
      <c r="I98" s="9"/>
      <c r="J98" s="9"/>
      <c r="K98" s="9"/>
      <c r="L98" s="9"/>
      <c r="M98" s="9"/>
      <c r="N98" s="9"/>
    </row>
    <row r="99" spans="1:14">
      <c r="A99" s="12" t="str">
        <f>[88]Sheet1!$A$1</f>
        <v>太阳轻型纸65克889*990平板</v>
      </c>
      <c r="B99" s="13"/>
      <c r="C99" s="13"/>
      <c r="D99" s="13"/>
      <c r="E99" s="13"/>
      <c r="F99" s="14"/>
      <c r="G99" s="4">
        <f>[88]Sheet1!$E$10</f>
        <v>468</v>
      </c>
      <c r="H99" s="4"/>
      <c r="I99" s="4"/>
      <c r="J99" s="9"/>
      <c r="K99" s="9"/>
      <c r="L99" s="9"/>
      <c r="M99" s="9"/>
      <c r="N99" s="9"/>
    </row>
    <row r="100" spans="1:14">
      <c r="A100" s="12" t="str">
        <f>[89]Sheet1!$A$1</f>
        <v>太阳轻型纸65克889*1194平板</v>
      </c>
      <c r="B100" s="13"/>
      <c r="C100" s="13"/>
      <c r="D100" s="13"/>
      <c r="E100" s="13"/>
      <c r="F100" s="14"/>
      <c r="G100" s="4">
        <f>[89]Sheet1!$E$13</f>
        <v>78</v>
      </c>
      <c r="H100" s="4"/>
      <c r="I100" s="4"/>
      <c r="J100" s="9"/>
      <c r="K100" s="9"/>
      <c r="L100" s="9"/>
      <c r="M100" s="9"/>
      <c r="N100" s="9"/>
    </row>
    <row r="101" spans="1:14">
      <c r="A101" s="12" t="str">
        <f>[90]Sheet1!$A$1</f>
        <v>太阳轻型纸65克1000卷筒</v>
      </c>
      <c r="B101" s="13"/>
      <c r="C101" s="13"/>
      <c r="D101" s="13"/>
      <c r="E101" s="13"/>
      <c r="F101" s="14"/>
      <c r="G101" s="4">
        <f>[90]Sheet1!$H$12</f>
        <v>5.293</v>
      </c>
      <c r="H101" s="4"/>
      <c r="I101" s="9"/>
      <c r="J101" s="9"/>
      <c r="K101" s="9"/>
      <c r="L101" s="9"/>
      <c r="M101" s="9"/>
      <c r="N101" s="9"/>
    </row>
    <row r="102" spans="1:14">
      <c r="A102" s="12" t="str">
        <f>[91]Sheet1!$A$1</f>
        <v>太阳轻型纸65克1000*720平板</v>
      </c>
      <c r="B102" s="13"/>
      <c r="C102" s="13"/>
      <c r="D102" s="13"/>
      <c r="E102" s="13"/>
      <c r="F102" s="14"/>
      <c r="G102" s="4">
        <f>[91]Sheet1!$E$13</f>
        <v>31.5</v>
      </c>
      <c r="H102" s="4"/>
      <c r="I102" s="4"/>
      <c r="J102" s="9"/>
      <c r="K102" s="9"/>
      <c r="L102" s="9"/>
      <c r="M102" s="9"/>
      <c r="N102" s="9"/>
    </row>
    <row r="103" spans="1:14">
      <c r="A103" s="12" t="s">
        <v>59</v>
      </c>
      <c r="B103" s="13"/>
      <c r="C103" s="13"/>
      <c r="D103" s="13"/>
      <c r="E103" s="13"/>
      <c r="F103" s="14"/>
      <c r="G103" s="4">
        <f>[92]Sheet1!$E$67</f>
        <v>70</v>
      </c>
      <c r="H103" s="26"/>
      <c r="I103" s="4"/>
      <c r="J103" s="9"/>
      <c r="K103" s="9"/>
      <c r="L103" s="9"/>
      <c r="M103" s="9"/>
      <c r="N103" s="9"/>
    </row>
    <row r="104" spans="1:14">
      <c r="A104" s="12" t="s">
        <v>60</v>
      </c>
      <c r="B104" s="13"/>
      <c r="C104" s="13"/>
      <c r="D104" s="13"/>
      <c r="E104" s="13"/>
      <c r="F104" s="14"/>
      <c r="G104" s="4">
        <f>[93]Sheet1!$H$45</f>
        <v>4.647</v>
      </c>
      <c r="H104" s="4"/>
      <c r="I104" s="9"/>
      <c r="J104" s="9"/>
      <c r="K104" s="9"/>
      <c r="L104" s="9"/>
      <c r="M104" s="9"/>
      <c r="N104" s="9"/>
    </row>
    <row r="105" spans="1:14">
      <c r="A105" s="12" t="str">
        <f>[94]Sheet1!$A$1</f>
        <v>太阳轻型纸75克889*990平板</v>
      </c>
      <c r="B105" s="13"/>
      <c r="C105" s="13"/>
      <c r="D105" s="13"/>
      <c r="E105" s="13"/>
      <c r="F105" s="14"/>
      <c r="G105" s="4">
        <f>[94]Sheet1!$E$15</f>
        <v>336</v>
      </c>
      <c r="H105" s="27"/>
      <c r="I105" s="4"/>
      <c r="J105" s="9"/>
      <c r="K105" s="9"/>
      <c r="L105" s="9"/>
      <c r="M105" s="9"/>
      <c r="N105" s="9"/>
    </row>
    <row r="106" spans="1:14">
      <c r="A106" s="12" t="s">
        <v>61</v>
      </c>
      <c r="B106" s="13"/>
      <c r="C106" s="13"/>
      <c r="D106" s="13"/>
      <c r="E106" s="13"/>
      <c r="F106" s="14"/>
      <c r="G106" s="4">
        <f>[95]Sheet1!$E$66</f>
        <v>28.5</v>
      </c>
      <c r="H106" s="27"/>
      <c r="I106" s="4"/>
      <c r="J106" s="9"/>
      <c r="K106" s="9"/>
      <c r="L106" s="9"/>
      <c r="M106" s="9"/>
      <c r="N106" s="9"/>
    </row>
    <row r="107" spans="1:14">
      <c r="A107" s="12" t="str">
        <f>[96]Sheet1!$A$1</f>
        <v>太阳93克轻型纸787*1092平板</v>
      </c>
      <c r="B107" s="13"/>
      <c r="C107" s="13"/>
      <c r="D107" s="13"/>
      <c r="E107" s="13"/>
      <c r="F107" s="14"/>
      <c r="G107" s="4">
        <f>[96]Sheet1!$E$30</f>
        <v>8</v>
      </c>
      <c r="H107" s="4"/>
      <c r="I107" s="4"/>
      <c r="J107" s="9"/>
      <c r="K107" s="9"/>
      <c r="L107" s="9"/>
      <c r="M107" s="9"/>
      <c r="N107" s="9"/>
    </row>
    <row r="108" spans="1:14">
      <c r="A108" s="12" t="str">
        <f>[97]Sheet1!$A$1</f>
        <v>太阳轻型纸95克889卷筒</v>
      </c>
      <c r="B108" s="13"/>
      <c r="C108" s="13"/>
      <c r="D108" s="13"/>
      <c r="E108" s="13"/>
      <c r="F108" s="14"/>
      <c r="G108" s="4">
        <f>[97]Sheet1!$H$12</f>
        <v>5.616</v>
      </c>
      <c r="H108" s="4"/>
      <c r="I108" s="9"/>
      <c r="J108" s="9"/>
      <c r="K108" s="9"/>
      <c r="L108" s="9"/>
      <c r="M108" s="9"/>
      <c r="N108" s="9"/>
    </row>
    <row r="109" spans="1:14">
      <c r="A109" s="12" t="str">
        <f>[98]Sheet1!$A$1</f>
        <v>太阳95克轻型纸889*1194</v>
      </c>
      <c r="B109" s="13"/>
      <c r="C109" s="13"/>
      <c r="D109" s="13"/>
      <c r="E109" s="13"/>
      <c r="F109" s="14"/>
      <c r="G109" s="4">
        <f>[98]Sheet1!$E$31</f>
        <v>16.7</v>
      </c>
      <c r="H109" s="4"/>
      <c r="I109" s="4"/>
      <c r="J109" s="9"/>
      <c r="K109" s="9"/>
      <c r="L109" s="9"/>
      <c r="M109" s="9"/>
      <c r="N109" s="9"/>
    </row>
    <row r="110" spans="1:14">
      <c r="A110" s="12"/>
      <c r="B110" s="13"/>
      <c r="C110" s="13"/>
      <c r="D110" s="13"/>
      <c r="E110" s="13"/>
      <c r="F110" s="14"/>
      <c r="G110" s="4"/>
      <c r="H110" s="4"/>
      <c r="I110" s="4"/>
      <c r="J110" s="9"/>
      <c r="K110" s="9"/>
      <c r="L110" s="9"/>
      <c r="M110" s="9"/>
      <c r="N110" s="9"/>
    </row>
    <row r="111" spans="1:14">
      <c r="A111" s="12" t="s">
        <v>62</v>
      </c>
      <c r="B111" s="13"/>
      <c r="C111" s="13"/>
      <c r="D111" s="13"/>
      <c r="E111" s="13"/>
      <c r="F111" s="14"/>
      <c r="G111" s="4">
        <f>[99]Sheet1!$E$4</f>
        <v>17</v>
      </c>
      <c r="H111" s="4"/>
      <c r="I111" s="4"/>
      <c r="J111" s="9"/>
      <c r="K111" s="9"/>
      <c r="L111" s="9"/>
      <c r="M111" s="9"/>
      <c r="N111" s="9"/>
    </row>
    <row r="112" spans="1:14">
      <c r="A112" s="12" t="str">
        <f>[100]Sheet1!$A$1</f>
        <v>亚泰125克静电纸800*1092</v>
      </c>
      <c r="B112" s="13"/>
      <c r="C112" s="13"/>
      <c r="D112" s="13"/>
      <c r="E112" s="13"/>
      <c r="F112" s="14"/>
      <c r="G112" s="4">
        <f>[100]Sheet1!$E$14</f>
        <v>17.54</v>
      </c>
      <c r="H112" s="4"/>
      <c r="I112" s="4"/>
      <c r="J112" s="9"/>
      <c r="K112" s="9"/>
      <c r="L112" s="9"/>
      <c r="M112" s="9"/>
      <c r="N112" s="9"/>
    </row>
    <row r="113" spans="1:14">
      <c r="A113" s="12" t="str">
        <f>[101]Sheet1!$A$1</f>
        <v>亚泰125克静电纸1092卷筒</v>
      </c>
      <c r="B113" s="13"/>
      <c r="C113" s="13"/>
      <c r="D113" s="13"/>
      <c r="E113" s="13"/>
      <c r="F113" s="14"/>
      <c r="G113" s="4">
        <f>[101]Sheet1!$H$5</f>
        <v>8.736</v>
      </c>
      <c r="H113" s="4"/>
      <c r="I113" s="9"/>
      <c r="J113" s="9"/>
      <c r="K113" s="9"/>
      <c r="L113" s="9"/>
      <c r="M113" s="9"/>
      <c r="N113" s="9"/>
    </row>
    <row r="114" spans="1:14">
      <c r="A114" s="12" t="s">
        <v>63</v>
      </c>
      <c r="B114" s="13"/>
      <c r="C114" s="13"/>
      <c r="D114" s="13"/>
      <c r="E114" s="13"/>
      <c r="F114" s="14"/>
      <c r="G114" s="4">
        <f>[102]Sheet1!$E$4</f>
        <v>20</v>
      </c>
      <c r="H114" s="4"/>
      <c r="I114" s="4"/>
      <c r="J114" s="9"/>
      <c r="K114" s="9"/>
      <c r="L114" s="9"/>
      <c r="M114" s="9"/>
      <c r="N114" s="9"/>
    </row>
    <row r="115" spans="1:14">
      <c r="A115" s="12" t="str">
        <f>[103]Sheet1!$A$1</f>
        <v>亚太本白纸68克889*1194平板</v>
      </c>
      <c r="B115" s="13"/>
      <c r="C115" s="13"/>
      <c r="D115" s="13"/>
      <c r="E115" s="13"/>
      <c r="F115" s="14"/>
      <c r="G115" s="4">
        <f>[103]Sheet1!$E$17</f>
        <v>35</v>
      </c>
      <c r="H115" s="4"/>
      <c r="I115" s="4"/>
      <c r="J115" s="9"/>
      <c r="K115" s="9"/>
      <c r="L115" s="9"/>
      <c r="M115" s="9"/>
      <c r="N115" s="9"/>
    </row>
    <row r="116" spans="1:14">
      <c r="A116" s="12" t="str">
        <f>[104]Sheet1!$A$1</f>
        <v>亚太本白纸78克889卷筒</v>
      </c>
      <c r="B116" s="13"/>
      <c r="C116" s="13"/>
      <c r="D116" s="13"/>
      <c r="E116" s="13"/>
      <c r="F116" s="14"/>
      <c r="G116" s="4">
        <f>[104]Sheet1!$H$5</f>
        <v>2.254</v>
      </c>
      <c r="H116" s="4"/>
      <c r="I116" s="9"/>
      <c r="J116" s="9"/>
      <c r="K116" s="9"/>
      <c r="L116" s="9"/>
      <c r="M116" s="9"/>
      <c r="N116" s="9"/>
    </row>
    <row r="117" spans="1:14">
      <c r="A117" s="12"/>
      <c r="B117" s="13"/>
      <c r="C117" s="13"/>
      <c r="D117" s="13"/>
      <c r="E117" s="13"/>
      <c r="F117" s="14"/>
      <c r="G117" s="4"/>
      <c r="H117" s="4"/>
      <c r="I117" s="4"/>
      <c r="J117" s="9"/>
      <c r="K117" s="9"/>
      <c r="L117" s="9"/>
      <c r="M117" s="9"/>
      <c r="N117" s="9"/>
    </row>
    <row r="118" spans="1:14">
      <c r="A118" s="12" t="s">
        <v>64</v>
      </c>
      <c r="B118" s="13"/>
      <c r="C118" s="13"/>
      <c r="D118" s="13"/>
      <c r="E118" s="13"/>
      <c r="F118" s="14"/>
      <c r="G118" s="4">
        <f>[105]Sheet1!$H$6</f>
        <v>8.186</v>
      </c>
      <c r="H118" s="4"/>
      <c r="I118" s="9"/>
      <c r="J118" s="9"/>
      <c r="K118" s="9"/>
      <c r="L118" s="9"/>
      <c r="M118" s="9"/>
      <c r="N118" s="9"/>
    </row>
    <row r="119" spans="1:14">
      <c r="A119" s="12" t="s">
        <v>65</v>
      </c>
      <c r="B119" s="13"/>
      <c r="C119" s="13"/>
      <c r="D119" s="13"/>
      <c r="E119" s="13"/>
      <c r="F119" s="14"/>
      <c r="G119" s="4">
        <f>[106]Sheet1!$E$18</f>
        <v>93.7</v>
      </c>
      <c r="H119" s="4"/>
      <c r="I119" s="4"/>
      <c r="J119" s="9"/>
      <c r="K119" s="9"/>
      <c r="L119" s="9"/>
      <c r="M119" s="9"/>
      <c r="N119" s="9"/>
    </row>
    <row r="120" spans="1:14">
      <c r="A120" s="12" t="s">
        <v>66</v>
      </c>
      <c r="B120" s="13"/>
      <c r="C120" s="13"/>
      <c r="D120" s="13"/>
      <c r="E120" s="13"/>
      <c r="F120" s="14"/>
      <c r="G120" s="4">
        <f>[107]Sheet1!$E$5</f>
        <v>7</v>
      </c>
      <c r="H120" s="4"/>
      <c r="I120" s="4"/>
      <c r="J120" s="9"/>
      <c r="K120" s="9"/>
      <c r="L120" s="9"/>
      <c r="M120" s="9"/>
      <c r="N120" s="9"/>
    </row>
    <row r="121" spans="1:14">
      <c r="A121" s="12" t="s">
        <v>67</v>
      </c>
      <c r="B121" s="13"/>
      <c r="C121" s="13"/>
      <c r="D121" s="13"/>
      <c r="E121" s="13"/>
      <c r="F121" s="14"/>
      <c r="G121" s="4">
        <f>[108]Sheet1!$H$6</f>
        <v>0.545</v>
      </c>
      <c r="H121" s="4"/>
      <c r="I121" s="9"/>
      <c r="J121" s="9"/>
      <c r="K121" s="9"/>
      <c r="L121" s="9"/>
      <c r="M121" s="9"/>
      <c r="N121" s="9"/>
    </row>
    <row r="122" spans="1:14">
      <c r="A122" s="12" t="str">
        <f>[109]Sheet1!$A$1</f>
        <v>岳阳本白纸55克8号机82度787*1092平板</v>
      </c>
      <c r="B122" s="13"/>
      <c r="C122" s="13"/>
      <c r="D122" s="13"/>
      <c r="E122" s="13"/>
      <c r="F122" s="14"/>
      <c r="G122" s="4">
        <f>[109]Sheet1!$E$13</f>
        <v>12.7</v>
      </c>
      <c r="H122" s="4"/>
      <c r="I122" s="4"/>
      <c r="J122" s="9"/>
      <c r="K122" s="9"/>
      <c r="L122" s="9"/>
      <c r="M122" s="9"/>
      <c r="N122" s="9"/>
    </row>
    <row r="123" spans="1:14">
      <c r="A123" s="12" t="s">
        <v>68</v>
      </c>
      <c r="B123" s="13"/>
      <c r="C123" s="13"/>
      <c r="D123" s="13"/>
      <c r="E123" s="13"/>
      <c r="F123" s="14"/>
      <c r="G123" s="4">
        <f>[110]Sheet1!$H$8</f>
        <v>0.505</v>
      </c>
      <c r="H123" s="4"/>
      <c r="I123" s="9"/>
      <c r="J123" s="9"/>
      <c r="K123" s="9"/>
      <c r="L123" s="9"/>
      <c r="M123" s="9"/>
      <c r="N123" s="9"/>
    </row>
    <row r="124" spans="1:14">
      <c r="A124" s="12" t="str">
        <f>[111]Sheet1!$A$1</f>
        <v>岳阳本白纸55克10号机82度550*770平板</v>
      </c>
      <c r="B124" s="13"/>
      <c r="C124" s="13"/>
      <c r="D124" s="13"/>
      <c r="E124" s="13"/>
      <c r="F124" s="14"/>
      <c r="G124" s="4">
        <f>[111]Sheet1!$E$20</f>
        <v>318.3</v>
      </c>
      <c r="H124" s="4"/>
      <c r="I124" s="4"/>
      <c r="J124" s="9"/>
      <c r="K124" s="9"/>
      <c r="L124" s="9"/>
      <c r="M124" s="9"/>
      <c r="N124" s="9"/>
    </row>
    <row r="125" spans="1:14">
      <c r="A125" s="12" t="s">
        <v>69</v>
      </c>
      <c r="B125" s="13"/>
      <c r="C125" s="13"/>
      <c r="D125" s="13"/>
      <c r="E125" s="13"/>
      <c r="F125" s="14"/>
      <c r="G125" s="4">
        <f>[112]Sheet1!$E$8</f>
        <v>25.7</v>
      </c>
      <c r="H125" s="4"/>
      <c r="I125" s="4"/>
      <c r="J125" s="9"/>
      <c r="K125" s="9"/>
      <c r="L125" s="9"/>
      <c r="M125" s="9"/>
      <c r="N125" s="9"/>
    </row>
    <row r="126" spans="1:14">
      <c r="A126" s="12" t="str">
        <f>[113]Sheet1!$A$1</f>
        <v>岳阳本白纸55克10号机82度880卷筒</v>
      </c>
      <c r="B126" s="13"/>
      <c r="C126" s="13"/>
      <c r="D126" s="13"/>
      <c r="E126" s="13"/>
      <c r="F126" s="14"/>
      <c r="G126" s="4">
        <f>[113]Sheet1!$H$4</f>
        <v>0.643</v>
      </c>
      <c r="H126" s="4"/>
      <c r="I126" s="9"/>
      <c r="J126" s="9"/>
      <c r="K126" s="9"/>
      <c r="L126" s="9"/>
      <c r="M126" s="9"/>
      <c r="N126" s="9"/>
    </row>
    <row r="127" spans="1:14">
      <c r="A127" s="12" t="str">
        <f>[114]Sheet1!$A$1</f>
        <v>岳阳本白纸55克10号机82度880*1260平板</v>
      </c>
      <c r="B127" s="13"/>
      <c r="C127" s="13"/>
      <c r="D127" s="13"/>
      <c r="E127" s="13"/>
      <c r="F127" s="14"/>
      <c r="G127" s="4">
        <f>[114]Sheet1!$E$6</f>
        <v>909.5</v>
      </c>
      <c r="H127" s="4"/>
      <c r="I127" s="4"/>
      <c r="J127" s="9"/>
      <c r="K127" s="9"/>
      <c r="L127" s="9"/>
      <c r="M127" s="9"/>
      <c r="N127" s="9"/>
    </row>
    <row r="128" spans="1:14">
      <c r="A128" s="12" t="str">
        <f>[115]Sheet1!$A$1</f>
        <v>岳阳本白纸58克1号机800*1092平板</v>
      </c>
      <c r="B128" s="13"/>
      <c r="C128" s="13"/>
      <c r="D128" s="13"/>
      <c r="E128" s="13"/>
      <c r="F128" s="14"/>
      <c r="G128" s="4">
        <f>[115]Sheet1!$E$7</f>
        <v>101</v>
      </c>
      <c r="H128" s="27"/>
      <c r="I128" s="4"/>
      <c r="J128" s="9"/>
      <c r="K128" s="9"/>
      <c r="L128" s="9"/>
      <c r="M128" s="9"/>
      <c r="N128" s="9"/>
    </row>
    <row r="129" spans="1:14">
      <c r="A129" s="12" t="str">
        <f>[116]Sheet1!$A$1</f>
        <v>岳阳58克8号机本白纸870*1194平板</v>
      </c>
      <c r="B129" s="13"/>
      <c r="C129" s="13"/>
      <c r="D129" s="13"/>
      <c r="E129" s="13"/>
      <c r="F129" s="14"/>
      <c r="G129" s="4">
        <f>[116]Sheet1!$E$13</f>
        <v>15.8</v>
      </c>
      <c r="H129" s="4"/>
      <c r="I129" s="4"/>
      <c r="J129" s="9"/>
      <c r="K129" s="9"/>
      <c r="L129" s="9"/>
      <c r="M129" s="9"/>
      <c r="N129" s="9"/>
    </row>
    <row r="130" spans="1:14">
      <c r="A130" s="12" t="str">
        <f>[117]Sheet1!$A$1</f>
        <v>岳阳本白纸58克10号机550*770平板</v>
      </c>
      <c r="B130" s="13"/>
      <c r="C130" s="13"/>
      <c r="D130" s="13"/>
      <c r="E130" s="13"/>
      <c r="F130" s="14"/>
      <c r="G130" s="4">
        <f>[117]Sheet1!$E$14</f>
        <v>2.3</v>
      </c>
      <c r="H130" s="4"/>
      <c r="I130" s="4"/>
      <c r="J130" s="9"/>
      <c r="K130" s="9"/>
      <c r="L130" s="9"/>
      <c r="M130" s="9"/>
      <c r="N130" s="9"/>
    </row>
    <row r="131" spans="1:14">
      <c r="A131" s="12" t="str">
        <f>[118]Sheet1!$A$1</f>
        <v>岳阳本白纸60克8号机82度820*1092平板</v>
      </c>
      <c r="B131" s="13"/>
      <c r="C131" s="13"/>
      <c r="D131" s="13"/>
      <c r="E131" s="13"/>
      <c r="F131" s="14"/>
      <c r="G131" s="4">
        <f>[118]Sheet1!$E$5</f>
        <v>16</v>
      </c>
      <c r="H131" s="4"/>
      <c r="I131" s="4"/>
      <c r="J131" s="9"/>
      <c r="K131" s="9"/>
      <c r="L131" s="9"/>
      <c r="M131" s="9"/>
      <c r="N131" s="9"/>
    </row>
    <row r="132" s="8" customFormat="1" spans="1:15">
      <c r="A132" s="15" t="s">
        <v>70</v>
      </c>
      <c r="B132" s="16"/>
      <c r="C132" s="16"/>
      <c r="D132" s="16"/>
      <c r="E132" s="16"/>
      <c r="F132" s="17"/>
      <c r="G132" s="19">
        <f>[119]Sheet1!$H$6</f>
        <v>10.681</v>
      </c>
      <c r="H132" s="19"/>
      <c r="I132" s="9"/>
      <c r="J132" s="9"/>
      <c r="K132" s="25"/>
      <c r="L132" s="25"/>
      <c r="M132" s="25"/>
      <c r="N132" s="9"/>
      <c r="O132"/>
    </row>
    <row r="133" spans="1:14">
      <c r="A133" s="12" t="s">
        <v>71</v>
      </c>
      <c r="B133" s="13"/>
      <c r="C133" s="13"/>
      <c r="D133" s="13"/>
      <c r="E133" s="13"/>
      <c r="F133" s="14"/>
      <c r="G133" s="4">
        <f>[120]Sheet1!$E$16</f>
        <v>16.2</v>
      </c>
      <c r="H133" s="4"/>
      <c r="I133" s="4"/>
      <c r="J133" s="9"/>
      <c r="K133" s="9"/>
      <c r="L133" s="9"/>
      <c r="M133" s="9"/>
      <c r="N133" s="9"/>
    </row>
    <row r="134" spans="1:14">
      <c r="A134" s="12" t="str">
        <f>[121]Sheet1!$A$1</f>
        <v>岳阳本白纸60克8号机82度870*1230平板</v>
      </c>
      <c r="B134" s="13"/>
      <c r="C134" s="13"/>
      <c r="D134" s="13"/>
      <c r="E134" s="13"/>
      <c r="F134" s="14"/>
      <c r="G134" s="4">
        <f>[121]Sheet1!$E$5</f>
        <v>45.4</v>
      </c>
      <c r="H134" s="4"/>
      <c r="I134" s="4"/>
      <c r="J134" s="9"/>
      <c r="K134" s="9"/>
      <c r="L134" s="9"/>
      <c r="M134" s="9"/>
      <c r="N134" s="9"/>
    </row>
    <row r="135" spans="1:14">
      <c r="A135" s="12" t="str">
        <f>[122]Sheet1!$A$1</f>
        <v>岳阳本白纸60克9号机82度550*2卷筒</v>
      </c>
      <c r="B135" s="13"/>
      <c r="C135" s="13"/>
      <c r="D135" s="13"/>
      <c r="E135" s="13"/>
      <c r="F135" s="14"/>
      <c r="G135" s="4">
        <f>[122]Sheet1!$H$10</f>
        <v>12.516</v>
      </c>
      <c r="H135" s="4"/>
      <c r="I135" s="9"/>
      <c r="J135" s="9"/>
      <c r="K135" s="9"/>
      <c r="L135" s="9"/>
      <c r="M135" s="9"/>
      <c r="N135" s="9"/>
    </row>
    <row r="136" spans="1:14">
      <c r="A136" s="12" t="str">
        <f>[123]Sheet1!$A$1</f>
        <v>岳阳本白纸60克9号机82度550*770平板</v>
      </c>
      <c r="B136" s="13"/>
      <c r="C136" s="13"/>
      <c r="D136" s="13"/>
      <c r="E136" s="13"/>
      <c r="F136" s="14"/>
      <c r="G136" s="4">
        <f>[123]Sheet1!$E$8</f>
        <v>137</v>
      </c>
      <c r="H136" s="4"/>
      <c r="I136" s="4"/>
      <c r="J136" s="9"/>
      <c r="K136" s="9"/>
      <c r="L136" s="9"/>
      <c r="M136" s="9"/>
      <c r="N136" s="9"/>
    </row>
    <row r="137" spans="1:14">
      <c r="A137" s="12" t="str">
        <f>[124]Sheet1!$A$1</f>
        <v>岳阳本白纸60克9号机82度550*787平板</v>
      </c>
      <c r="B137" s="13"/>
      <c r="C137" s="13"/>
      <c r="D137" s="13"/>
      <c r="E137" s="13"/>
      <c r="F137" s="14"/>
      <c r="G137" s="4">
        <f>[124]Sheet1!$E$12</f>
        <v>38</v>
      </c>
      <c r="H137" s="4"/>
      <c r="I137" s="4"/>
      <c r="J137" s="9"/>
      <c r="K137" s="9"/>
      <c r="L137" s="9"/>
      <c r="M137" s="9"/>
      <c r="N137" s="9"/>
    </row>
    <row r="138" spans="1:14">
      <c r="A138" s="12" t="str">
        <f>[125]Sheet1!$A$1</f>
        <v>岳阳本白纸60克9号机82度550*790平板</v>
      </c>
      <c r="B138" s="13"/>
      <c r="C138" s="13"/>
      <c r="D138" s="13"/>
      <c r="E138" s="13"/>
      <c r="F138" s="14"/>
      <c r="G138" s="4">
        <f>[125]Sheet1!$E$5</f>
        <v>924.4</v>
      </c>
      <c r="H138" s="4"/>
      <c r="I138" s="4"/>
      <c r="J138" s="9"/>
      <c r="K138" s="9"/>
      <c r="L138" s="9"/>
      <c r="M138" s="9"/>
      <c r="N138" s="9"/>
    </row>
    <row r="139" spans="1:14">
      <c r="A139" s="12" t="str">
        <f>[126]Sheet1!$A$1</f>
        <v>岳阳本白纸60克10号机82度550*770平板</v>
      </c>
      <c r="B139" s="13"/>
      <c r="C139" s="13"/>
      <c r="D139" s="13"/>
      <c r="E139" s="13"/>
      <c r="F139" s="14"/>
      <c r="G139" s="4">
        <f>[126]Sheet1!$E$27</f>
        <v>15</v>
      </c>
      <c r="H139" s="4"/>
      <c r="I139" s="4"/>
      <c r="J139" s="9"/>
      <c r="K139" s="9"/>
      <c r="L139" s="9"/>
      <c r="M139" s="9"/>
      <c r="N139" s="9"/>
    </row>
    <row r="140" spans="1:14">
      <c r="A140" s="12" t="str">
        <f>[127]Sheet1!$A$1</f>
        <v>岳阳60克本白纸880*1230平板</v>
      </c>
      <c r="B140" s="13"/>
      <c r="C140" s="13"/>
      <c r="D140" s="13"/>
      <c r="E140" s="13"/>
      <c r="F140" s="14"/>
      <c r="G140" s="4">
        <f>[127]Sheet1!$E$11</f>
        <v>9</v>
      </c>
      <c r="H140" s="4"/>
      <c r="I140" s="4"/>
      <c r="J140" s="9"/>
      <c r="K140" s="9"/>
      <c r="L140" s="9"/>
      <c r="M140" s="9"/>
      <c r="N140" s="9"/>
    </row>
    <row r="141" spans="1:14">
      <c r="A141" s="12" t="str">
        <f>[128]Sheet1!$A$1</f>
        <v>岳阳本白纸65克8号机84度889*1194平板</v>
      </c>
      <c r="B141" s="13"/>
      <c r="C141" s="13"/>
      <c r="D141" s="13"/>
      <c r="E141" s="13"/>
      <c r="F141" s="14"/>
      <c r="G141" s="4">
        <f>[128]Sheet1!$E$12</f>
        <v>42.5</v>
      </c>
      <c r="H141" s="4"/>
      <c r="I141" s="4"/>
      <c r="J141" s="9"/>
      <c r="K141" s="9"/>
      <c r="L141" s="9"/>
      <c r="M141" s="9"/>
      <c r="N141" s="9"/>
    </row>
    <row r="142" spans="1:14">
      <c r="A142" s="12" t="str">
        <f>[129]Sheet1!$A$1</f>
        <v>岳阳本白纸70克3号机82度550*787平板</v>
      </c>
      <c r="B142" s="13"/>
      <c r="C142" s="13"/>
      <c r="D142" s="13"/>
      <c r="E142" s="13"/>
      <c r="F142" s="14"/>
      <c r="G142" s="4">
        <f>[129]Sheet1!$E$9</f>
        <v>175</v>
      </c>
      <c r="H142" s="4"/>
      <c r="I142" s="4"/>
      <c r="J142" s="9"/>
      <c r="K142" s="9"/>
      <c r="L142" s="9"/>
      <c r="M142" s="9"/>
      <c r="N142" s="9"/>
    </row>
    <row r="143" spans="1:14">
      <c r="A143" s="12" t="str">
        <f>[130]Sheet1!$A$1</f>
        <v>岳阳本白纸70克3号机82度770卷筒</v>
      </c>
      <c r="B143" s="13"/>
      <c r="C143" s="13"/>
      <c r="D143" s="13"/>
      <c r="E143" s="13"/>
      <c r="F143" s="14"/>
      <c r="G143" s="4">
        <f>[130]Sheet1!$H$8</f>
        <v>11.342</v>
      </c>
      <c r="H143" s="4"/>
      <c r="I143" s="9"/>
      <c r="J143" s="9"/>
      <c r="K143" s="9"/>
      <c r="L143" s="9"/>
      <c r="M143" s="9"/>
      <c r="N143" s="9"/>
    </row>
    <row r="144" spans="1:14">
      <c r="A144" s="12" t="str">
        <f>[131]Sheet1!$A$1</f>
        <v>岳阳70克本白纸3号机85度889*1194平板</v>
      </c>
      <c r="B144" s="13"/>
      <c r="C144" s="13"/>
      <c r="D144" s="13"/>
      <c r="E144" s="13"/>
      <c r="F144" s="14"/>
      <c r="G144" s="4">
        <f>[131]Sheet1!$E$11</f>
        <v>6</v>
      </c>
      <c r="H144" s="4"/>
      <c r="I144" s="4"/>
      <c r="J144" s="9"/>
      <c r="K144" s="9"/>
      <c r="L144" s="9"/>
      <c r="M144" s="9"/>
      <c r="N144" s="9"/>
    </row>
    <row r="145" spans="1:14">
      <c r="A145" s="12" t="str">
        <f>[132]Sheet1!$A$1</f>
        <v>岳阳本白纸70克8号机82度787卷筒</v>
      </c>
      <c r="B145" s="13"/>
      <c r="C145" s="13"/>
      <c r="D145" s="13"/>
      <c r="E145" s="13"/>
      <c r="F145" s="14"/>
      <c r="G145" s="4">
        <f>[132]Sheet1!$H$5</f>
        <v>2.238</v>
      </c>
      <c r="H145" s="4"/>
      <c r="I145" s="9"/>
      <c r="J145" s="9"/>
      <c r="K145" s="9"/>
      <c r="L145" s="9"/>
      <c r="M145" s="9"/>
      <c r="N145" s="9"/>
    </row>
    <row r="146" spans="1:14">
      <c r="A146" s="12" t="str">
        <f>[133]Sheet1!$A$1</f>
        <v>岳阳70克本白纸8号机82度787*1092平板</v>
      </c>
      <c r="B146" s="13"/>
      <c r="C146" s="13"/>
      <c r="D146" s="13"/>
      <c r="E146" s="13"/>
      <c r="F146" s="14"/>
      <c r="G146" s="4">
        <f>[133]Sheet1!$E$11</f>
        <v>6.8</v>
      </c>
      <c r="H146" s="4"/>
      <c r="I146" s="4"/>
      <c r="J146" s="9"/>
      <c r="K146" s="9"/>
      <c r="L146" s="9"/>
      <c r="M146" s="9"/>
      <c r="N146" s="9"/>
    </row>
    <row r="147" spans="1:14">
      <c r="A147" s="12" t="str">
        <f>[134]Sheet1!$A$1</f>
        <v>岳阳本白纸70克8号机82度870*1194平板</v>
      </c>
      <c r="B147" s="13"/>
      <c r="C147" s="13"/>
      <c r="D147" s="13"/>
      <c r="E147" s="13"/>
      <c r="F147" s="14"/>
      <c r="G147" s="4">
        <f>[134]Sheet1!$E$5</f>
        <v>2</v>
      </c>
      <c r="H147" s="4"/>
      <c r="I147" s="4"/>
      <c r="J147" s="9"/>
      <c r="K147" s="9"/>
      <c r="L147" s="9"/>
      <c r="M147" s="9"/>
      <c r="N147" s="9"/>
    </row>
    <row r="148" spans="1:14">
      <c r="A148" s="12" t="str">
        <f>[135]Sheet1!$A$1</f>
        <v>岳阳本白纸70克8号机82度889*1194平板</v>
      </c>
      <c r="B148" s="13"/>
      <c r="C148" s="13"/>
      <c r="D148" s="13"/>
      <c r="E148" s="13"/>
      <c r="F148" s="14"/>
      <c r="G148" s="4">
        <f>[135]Sheet1!$E$5</f>
        <v>5</v>
      </c>
      <c r="H148" s="4"/>
      <c r="I148" s="4"/>
      <c r="J148" s="9"/>
      <c r="K148" s="9"/>
      <c r="L148" s="9"/>
      <c r="M148" s="9"/>
      <c r="N148" s="9"/>
    </row>
    <row r="149" spans="1:14">
      <c r="A149" s="12" t="str">
        <f>[136]Sheet1!$A$1</f>
        <v>岳阳本白纸70克8号机82度890卷筒</v>
      </c>
      <c r="B149" s="13"/>
      <c r="C149" s="13"/>
      <c r="D149" s="13"/>
      <c r="E149" s="13"/>
      <c r="F149" s="14"/>
      <c r="G149" s="4">
        <f>[136]Sheet1!$H$4</f>
        <v>1.908</v>
      </c>
      <c r="H149" s="4"/>
      <c r="I149" s="9"/>
      <c r="J149" s="9"/>
      <c r="K149" s="9"/>
      <c r="L149" s="9"/>
      <c r="M149" s="9"/>
      <c r="N149" s="9"/>
    </row>
    <row r="150" spans="1:14">
      <c r="A150" s="12" t="str">
        <f>[137]Sheet1!$A$1</f>
        <v>岳阳本白纸70克8号机85度770卷筒</v>
      </c>
      <c r="B150" s="13"/>
      <c r="C150" s="13"/>
      <c r="D150" s="13"/>
      <c r="E150" s="13"/>
      <c r="F150" s="14"/>
      <c r="G150" s="4">
        <f>[137]Sheet1!$H$7</f>
        <v>2.223</v>
      </c>
      <c r="H150" s="4"/>
      <c r="I150" s="9"/>
      <c r="J150" s="9"/>
      <c r="K150" s="9"/>
      <c r="L150" s="9"/>
      <c r="M150" s="9"/>
      <c r="N150" s="9"/>
    </row>
    <row r="151" spans="1:14">
      <c r="A151" s="12" t="str">
        <f>[138]Sheet1!$A$1</f>
        <v>岳阳70克本白纸10号机85度650卷筒</v>
      </c>
      <c r="B151" s="13"/>
      <c r="C151" s="13"/>
      <c r="D151" s="13"/>
      <c r="E151" s="13"/>
      <c r="F151" s="14"/>
      <c r="G151" s="4">
        <f>[138]Sheet1!$H$4</f>
        <v>1.939</v>
      </c>
      <c r="H151" s="4"/>
      <c r="I151" s="9"/>
      <c r="J151" s="9"/>
      <c r="K151" s="9"/>
      <c r="L151" s="9"/>
      <c r="M151" s="9"/>
      <c r="N151" s="9"/>
    </row>
    <row r="152" spans="1:14">
      <c r="A152" s="12" t="s">
        <v>72</v>
      </c>
      <c r="B152" s="13"/>
      <c r="C152" s="13"/>
      <c r="D152" s="13"/>
      <c r="E152" s="13"/>
      <c r="F152" s="14"/>
      <c r="G152" s="4">
        <f>[139]Sheet1!$H$5</f>
        <v>7.017</v>
      </c>
      <c r="H152" s="4"/>
      <c r="I152" s="9"/>
      <c r="J152" s="9"/>
      <c r="K152" s="9"/>
      <c r="L152" s="9"/>
      <c r="M152" s="9"/>
      <c r="N152" s="9"/>
    </row>
    <row r="153" spans="1:14">
      <c r="A153" s="12" t="s">
        <v>73</v>
      </c>
      <c r="B153" s="13"/>
      <c r="C153" s="13"/>
      <c r="D153" s="13"/>
      <c r="E153" s="13"/>
      <c r="F153" s="14"/>
      <c r="G153" s="4">
        <f>[140]Sheet1!$E$4</f>
        <v>75</v>
      </c>
      <c r="H153" s="4"/>
      <c r="I153" s="4"/>
      <c r="J153" s="9"/>
      <c r="K153" s="9"/>
      <c r="L153" s="9"/>
      <c r="M153" s="9"/>
      <c r="N153" s="9"/>
    </row>
    <row r="154" spans="1:14">
      <c r="A154" s="12" t="str">
        <f>[141]Sheet1!$A$1</f>
        <v>岳阳本白纸70克10号机85度800卷</v>
      </c>
      <c r="B154" s="13"/>
      <c r="C154" s="13"/>
      <c r="D154" s="13"/>
      <c r="E154" s="13"/>
      <c r="F154" s="14"/>
      <c r="G154" s="4">
        <f>[141]Sheet1!$H$4</f>
        <v>0.601</v>
      </c>
      <c r="H154" s="4"/>
      <c r="I154" s="9"/>
      <c r="J154" s="9"/>
      <c r="K154" s="9"/>
      <c r="L154" s="9"/>
      <c r="M154" s="9"/>
      <c r="N154" s="9"/>
    </row>
    <row r="155" spans="1:14">
      <c r="A155" s="12" t="str">
        <f>[142]Sheet1!$A$1</f>
        <v>岳阳本白纸70克10号机85度800*1092平板</v>
      </c>
      <c r="B155" s="13"/>
      <c r="C155" s="13"/>
      <c r="D155" s="13"/>
      <c r="E155" s="13"/>
      <c r="F155" s="14"/>
      <c r="G155" s="4">
        <f>[142]Sheet1!$E$4</f>
        <v>19</v>
      </c>
      <c r="H155" s="4"/>
      <c r="I155" s="4"/>
      <c r="J155" s="9"/>
      <c r="K155" s="9"/>
      <c r="L155" s="9"/>
      <c r="M155" s="9"/>
      <c r="N155" s="9"/>
    </row>
    <row r="156" spans="1:14">
      <c r="A156" s="12" t="str">
        <f>[143]Sheet1!$A$1</f>
        <v>岳阳70克10号机85度本白纸890卷筒</v>
      </c>
      <c r="B156" s="13"/>
      <c r="C156" s="13"/>
      <c r="D156" s="13"/>
      <c r="E156" s="13"/>
      <c r="F156" s="14"/>
      <c r="G156" s="4">
        <f>[143]Sheet1!$H$5</f>
        <v>2.576</v>
      </c>
      <c r="H156" s="4"/>
      <c r="I156" s="9"/>
      <c r="J156" s="9"/>
      <c r="K156" s="9"/>
      <c r="L156" s="9"/>
      <c r="M156" s="9"/>
      <c r="N156" s="9"/>
    </row>
    <row r="157" spans="1:14">
      <c r="A157" s="12" t="str">
        <f>[144]Sheet1!$A$1</f>
        <v>岳阳本白纸75克8号机82度880卷筒</v>
      </c>
      <c r="B157" s="13"/>
      <c r="C157" s="13"/>
      <c r="D157" s="13"/>
      <c r="E157" s="13"/>
      <c r="F157" s="14"/>
      <c r="G157" s="4">
        <f>[144]Sheet1!$H$4</f>
        <v>19.665</v>
      </c>
      <c r="H157" s="4"/>
      <c r="I157" s="9"/>
      <c r="J157" s="9"/>
      <c r="K157" s="9"/>
      <c r="L157" s="9"/>
      <c r="M157" s="9"/>
      <c r="N157" s="9"/>
    </row>
    <row r="158" spans="1:14">
      <c r="A158" s="12" t="str">
        <f>[145]Sheet1!$A$1</f>
        <v>岳阳本白纸78克3号机85度880*1194平板</v>
      </c>
      <c r="B158" s="13"/>
      <c r="C158" s="13"/>
      <c r="D158" s="13"/>
      <c r="E158" s="13"/>
      <c r="F158" s="14"/>
      <c r="G158" s="4">
        <f>[145]Sheet1!$E$5</f>
        <v>7.4</v>
      </c>
      <c r="H158" s="4"/>
      <c r="I158" s="4"/>
      <c r="J158" s="9"/>
      <c r="K158" s="9"/>
      <c r="L158" s="9"/>
      <c r="M158" s="9"/>
      <c r="N158" s="9"/>
    </row>
    <row r="159" spans="1:14">
      <c r="A159" s="12" t="str">
        <f>[146]Sheet1!$A$1</f>
        <v>岳阳本白纸80克3号机82度780卷筒</v>
      </c>
      <c r="B159" s="13"/>
      <c r="C159" s="13"/>
      <c r="D159" s="13"/>
      <c r="E159" s="13"/>
      <c r="F159" s="14"/>
      <c r="G159" s="4">
        <f>[146]Sheet1!$H$6</f>
        <v>8.607</v>
      </c>
      <c r="H159" s="4"/>
      <c r="I159" s="9"/>
      <c r="J159" s="9"/>
      <c r="K159" s="9"/>
      <c r="L159" s="9"/>
      <c r="M159" s="9"/>
      <c r="N159" s="9"/>
    </row>
    <row r="160" spans="1:14">
      <c r="A160" s="12" t="str">
        <f>[147]Sheet1!$A$1</f>
        <v>岳阳本白纸80克3号机82度787*1092平板</v>
      </c>
      <c r="B160" s="13"/>
      <c r="C160" s="13"/>
      <c r="D160" s="13"/>
      <c r="E160" s="13"/>
      <c r="F160" s="14"/>
      <c r="G160" s="4">
        <f>[147]Sheet1!$E$14</f>
        <v>23.2</v>
      </c>
      <c r="H160" s="4"/>
      <c r="I160" s="4"/>
      <c r="J160" s="9"/>
      <c r="K160" s="9"/>
      <c r="L160" s="9"/>
      <c r="M160" s="9"/>
      <c r="N160" s="9"/>
    </row>
    <row r="161" spans="1:14">
      <c r="A161" s="12" t="str">
        <f>[148]Sheet1!$A$1</f>
        <v>岳阳本白纸80克3号机82度870卷筒</v>
      </c>
      <c r="B161" s="13"/>
      <c r="C161" s="13"/>
      <c r="D161" s="13"/>
      <c r="E161" s="13"/>
      <c r="F161" s="14"/>
      <c r="G161" s="4">
        <f>[148]Sheet1!$H$4</f>
        <v>2.098</v>
      </c>
      <c r="H161" s="4"/>
      <c r="I161" s="9"/>
      <c r="J161" s="9"/>
      <c r="K161" s="9"/>
      <c r="L161" s="9"/>
      <c r="M161" s="9"/>
      <c r="N161" s="9"/>
    </row>
    <row r="162" spans="1:14">
      <c r="A162" s="12" t="str">
        <f>[149]Sheet1!$A$1</f>
        <v>岳阳本白纸80克3号机82度880卷筒</v>
      </c>
      <c r="B162" s="13"/>
      <c r="C162" s="13"/>
      <c r="D162" s="13"/>
      <c r="E162" s="13"/>
      <c r="F162" s="14"/>
      <c r="G162" s="4">
        <f>[149]Sheet1!$H$4</f>
        <v>1.957</v>
      </c>
      <c r="H162" s="4"/>
      <c r="I162" s="9"/>
      <c r="J162" s="9"/>
      <c r="K162" s="9"/>
      <c r="L162" s="9"/>
      <c r="M162" s="9"/>
      <c r="N162" s="9"/>
    </row>
    <row r="163" spans="1:14">
      <c r="A163" s="12" t="str">
        <f>[150]Sheet1!$A$1</f>
        <v>岳阳本白纸80克3号机82度889*1194平板</v>
      </c>
      <c r="B163" s="13"/>
      <c r="C163" s="13"/>
      <c r="D163" s="13"/>
      <c r="E163" s="13"/>
      <c r="F163" s="14"/>
      <c r="G163" s="4">
        <f>[150]Sheet1!$E$12</f>
        <v>22.5</v>
      </c>
      <c r="H163" s="4"/>
      <c r="I163" s="4"/>
      <c r="J163" s="9"/>
      <c r="K163" s="9"/>
      <c r="L163" s="9"/>
      <c r="M163" s="9"/>
      <c r="N163" s="9"/>
    </row>
    <row r="164" spans="1:14">
      <c r="A164" s="12" t="s">
        <v>74</v>
      </c>
      <c r="B164" s="13"/>
      <c r="C164" s="13"/>
      <c r="D164" s="13"/>
      <c r="E164" s="13"/>
      <c r="F164" s="14"/>
      <c r="G164" s="4">
        <f>[151]Sheet1!$E$19</f>
        <v>30</v>
      </c>
      <c r="H164" s="4"/>
      <c r="I164" s="4"/>
      <c r="J164" s="9"/>
      <c r="K164" s="9"/>
      <c r="L164" s="9"/>
      <c r="M164" s="9"/>
      <c r="N164" s="9"/>
    </row>
    <row r="165" spans="1:14">
      <c r="A165" s="12" t="s">
        <v>75</v>
      </c>
      <c r="B165" s="13"/>
      <c r="C165" s="13"/>
      <c r="D165" s="13"/>
      <c r="E165" s="13"/>
      <c r="F165" s="14"/>
      <c r="G165" s="4">
        <f>[152]Sheet1!$E$14</f>
        <v>14.5</v>
      </c>
      <c r="H165" s="4"/>
      <c r="I165" s="4"/>
      <c r="J165" s="9"/>
      <c r="K165" s="9"/>
      <c r="L165" s="9"/>
      <c r="M165" s="9"/>
      <c r="N165" s="9"/>
    </row>
    <row r="166" spans="1:14">
      <c r="A166" s="12" t="str">
        <f>[153]Sheet1!$A$1</f>
        <v>岳阳本白纸80克3号机85度787卷筒</v>
      </c>
      <c r="B166" s="13"/>
      <c r="C166" s="13"/>
      <c r="D166" s="13"/>
      <c r="E166" s="13"/>
      <c r="F166" s="14"/>
      <c r="G166" s="4">
        <f>[153]Sheet1!$H$8</f>
        <v>12.403</v>
      </c>
      <c r="H166" s="4"/>
      <c r="I166" s="9"/>
      <c r="J166" s="9"/>
      <c r="K166" s="9"/>
      <c r="L166" s="9"/>
      <c r="M166" s="9"/>
      <c r="N166" s="9"/>
    </row>
    <row r="167" spans="1:14">
      <c r="A167" s="12" t="str">
        <f>[154]Sheet1!$A$1</f>
        <v>岳阳本白纸80克3号机85度787*1092平板</v>
      </c>
      <c r="B167" s="13"/>
      <c r="C167" s="13"/>
      <c r="D167" s="13"/>
      <c r="E167" s="13"/>
      <c r="F167" s="14"/>
      <c r="G167" s="4">
        <f>[154]Sheet1!$E$5</f>
        <v>14.3</v>
      </c>
      <c r="H167" s="4"/>
      <c r="I167" s="4"/>
      <c r="J167" s="9"/>
      <c r="K167" s="9"/>
      <c r="L167" s="9"/>
      <c r="M167" s="9"/>
      <c r="N167" s="9"/>
    </row>
    <row r="168" spans="1:14">
      <c r="A168" s="12" t="str">
        <f>[155]Sheet1!$A$1</f>
        <v>岳阳本白纸80克3号机85度800*1092平板</v>
      </c>
      <c r="B168" s="13"/>
      <c r="C168" s="13"/>
      <c r="D168" s="13"/>
      <c r="E168" s="13"/>
      <c r="F168" s="14"/>
      <c r="G168" s="4">
        <f>[155]Sheet1!$E$4</f>
        <v>50.8</v>
      </c>
      <c r="H168" s="4"/>
      <c r="I168" s="4"/>
      <c r="J168" s="9"/>
      <c r="K168" s="9"/>
      <c r="L168" s="9"/>
      <c r="M168" s="9"/>
      <c r="N168" s="9"/>
    </row>
    <row r="169" spans="1:14">
      <c r="A169" s="12" t="s">
        <v>76</v>
      </c>
      <c r="B169" s="13"/>
      <c r="C169" s="13"/>
      <c r="D169" s="13"/>
      <c r="E169" s="13"/>
      <c r="F169" s="14"/>
      <c r="G169" s="4">
        <f>[156]Sheet1!$H$6</f>
        <v>9.375</v>
      </c>
      <c r="H169" s="4"/>
      <c r="I169" s="9"/>
      <c r="J169" s="9"/>
      <c r="K169" s="9"/>
      <c r="L169" s="9"/>
      <c r="M169" s="9"/>
      <c r="N169" s="9"/>
    </row>
    <row r="170" spans="1:14">
      <c r="A170" s="12" t="s">
        <v>77</v>
      </c>
      <c r="B170" s="13"/>
      <c r="C170" s="13"/>
      <c r="D170" s="13"/>
      <c r="E170" s="13"/>
      <c r="F170" s="14"/>
      <c r="G170" s="4">
        <f>[157]Sheet1!$E$16</f>
        <v>3.6</v>
      </c>
      <c r="H170" s="4"/>
      <c r="I170" s="4"/>
      <c r="J170" s="9"/>
      <c r="K170" s="9"/>
      <c r="L170" s="9"/>
      <c r="M170" s="9"/>
      <c r="N170" s="9"/>
    </row>
    <row r="171" spans="1:14">
      <c r="A171" s="12" t="str">
        <f>[158]Sheet1!$A$1</f>
        <v>岳阳本白纸80克8号机82度770卷筒</v>
      </c>
      <c r="B171" s="13"/>
      <c r="C171" s="13"/>
      <c r="D171" s="13"/>
      <c r="E171" s="13"/>
      <c r="F171" s="14"/>
      <c r="G171" s="4">
        <f>[158]Sheet1!$H$4</f>
        <v>3.574</v>
      </c>
      <c r="H171" s="4"/>
      <c r="I171" s="9"/>
      <c r="J171" s="9"/>
      <c r="K171" s="9"/>
      <c r="L171" s="9"/>
      <c r="M171" s="9"/>
      <c r="N171" s="9"/>
    </row>
    <row r="172" spans="1:14">
      <c r="A172" s="12" t="str">
        <f>[159]Sheet1!$A$1</f>
        <v>岳阳本白纸80克8号机82度780卷筒</v>
      </c>
      <c r="B172" s="13"/>
      <c r="C172" s="13"/>
      <c r="D172" s="13"/>
      <c r="E172" s="13"/>
      <c r="F172" s="14"/>
      <c r="G172" s="4">
        <f>[159]Sheet1!$H$4</f>
        <v>4.458</v>
      </c>
      <c r="H172" s="4"/>
      <c r="I172" s="9"/>
      <c r="J172" s="9"/>
      <c r="K172" s="9"/>
      <c r="L172" s="9"/>
      <c r="M172" s="9"/>
      <c r="N172" s="9"/>
    </row>
    <row r="173" spans="1:14">
      <c r="A173" s="12" t="s">
        <v>78</v>
      </c>
      <c r="B173" s="13"/>
      <c r="C173" s="13"/>
      <c r="D173" s="13"/>
      <c r="E173" s="13"/>
      <c r="F173" s="14"/>
      <c r="G173" s="4">
        <f>[160]Sheet1!$H$8</f>
        <v>1.65</v>
      </c>
      <c r="H173" s="4"/>
      <c r="I173" s="9"/>
      <c r="J173" s="9"/>
      <c r="K173" s="9"/>
      <c r="L173" s="9"/>
      <c r="M173" s="9"/>
      <c r="N173" s="9"/>
    </row>
    <row r="174" spans="1:14">
      <c r="A174" s="12" t="str">
        <f>[161]Sheet1!$A$1</f>
        <v>岳阳本白纸80克8号机82度787*1092平板</v>
      </c>
      <c r="B174" s="13"/>
      <c r="C174" s="13"/>
      <c r="D174" s="13"/>
      <c r="E174" s="13"/>
      <c r="F174" s="14"/>
      <c r="G174" s="4">
        <f>[161]Sheet1!$E$20</f>
        <v>2</v>
      </c>
      <c r="H174" s="4"/>
      <c r="I174" s="4"/>
      <c r="J174" s="9"/>
      <c r="K174" s="9"/>
      <c r="L174" s="9"/>
      <c r="M174" s="9"/>
      <c r="N174" s="9"/>
    </row>
    <row r="175" s="8" customFormat="1" spans="1:15">
      <c r="A175" s="15" t="str">
        <f>[162]Sheet1!$A$1</f>
        <v>岳阳本白纸80克8号机82度870卷筒</v>
      </c>
      <c r="B175" s="16"/>
      <c r="C175" s="16"/>
      <c r="D175" s="16"/>
      <c r="E175" s="16"/>
      <c r="F175" s="17"/>
      <c r="G175" s="19">
        <f>[162]Sheet1!$H$7</f>
        <v>2.308</v>
      </c>
      <c r="H175" s="19"/>
      <c r="I175" s="9"/>
      <c r="J175" s="9"/>
      <c r="K175" s="25"/>
      <c r="L175" s="25"/>
      <c r="M175" s="25"/>
      <c r="N175" s="9"/>
      <c r="O175"/>
    </row>
    <row r="176" spans="1:14">
      <c r="A176" s="12" t="str">
        <f>[163]Sheet1!$A$1</f>
        <v>岳阳本白纸80克8号机82度870*1194平板</v>
      </c>
      <c r="B176" s="13"/>
      <c r="C176" s="13"/>
      <c r="D176" s="13"/>
      <c r="E176" s="13"/>
      <c r="F176" s="14"/>
      <c r="G176" s="4">
        <f>[163]Sheet1!$E$8</f>
        <v>6</v>
      </c>
      <c r="H176" s="4"/>
      <c r="I176" s="4"/>
      <c r="J176" s="9"/>
      <c r="K176" s="9"/>
      <c r="L176" s="9"/>
      <c r="M176" s="9"/>
      <c r="N176" s="9"/>
    </row>
    <row r="177" spans="1:14">
      <c r="A177" s="12" t="str">
        <f>[164]Sheet1!$A$1</f>
        <v>岳阳本白纸80克8号机82度880*1194平板</v>
      </c>
      <c r="B177" s="13"/>
      <c r="C177" s="13"/>
      <c r="D177" s="13"/>
      <c r="E177" s="13"/>
      <c r="F177" s="14"/>
      <c r="G177" s="4">
        <f>[164]Sheet1!$E$4</f>
        <v>11</v>
      </c>
      <c r="H177" s="4"/>
      <c r="I177" s="4"/>
      <c r="J177" s="9"/>
      <c r="K177" s="9"/>
      <c r="L177" s="9"/>
      <c r="M177" s="9"/>
      <c r="N177" s="9"/>
    </row>
    <row r="178" spans="1:14">
      <c r="A178" s="12" t="str">
        <f>[165]Sheet1!$A$1</f>
        <v>岳阳本白纸80克8号机85度890*1194平板</v>
      </c>
      <c r="B178" s="13"/>
      <c r="C178" s="13"/>
      <c r="D178" s="13"/>
      <c r="E178" s="13"/>
      <c r="F178" s="14"/>
      <c r="G178" s="4">
        <f>[165]Sheet1!$E$6</f>
        <v>0.8</v>
      </c>
      <c r="H178" s="4"/>
      <c r="I178" s="4"/>
      <c r="J178" s="9"/>
      <c r="K178" s="9"/>
      <c r="L178" s="9"/>
      <c r="M178" s="9"/>
      <c r="N178" s="9"/>
    </row>
    <row r="179" spans="1:14">
      <c r="A179" s="12" t="str">
        <f>[166]Sheet1!$A$1</f>
        <v>岳阳本白纸80克9号机82度787卷筒</v>
      </c>
      <c r="B179" s="13"/>
      <c r="C179" s="13"/>
      <c r="D179" s="13"/>
      <c r="E179" s="13"/>
      <c r="F179" s="14"/>
      <c r="G179" s="4">
        <f>[166]Sheet1!$H$5</f>
        <v>30.433</v>
      </c>
      <c r="H179" s="4"/>
      <c r="I179" s="9"/>
      <c r="J179" s="9"/>
      <c r="K179" s="9"/>
      <c r="L179" s="9"/>
      <c r="M179" s="9"/>
      <c r="N179" s="9"/>
    </row>
    <row r="180" spans="1:14">
      <c r="A180" s="12" t="str">
        <f>[167]Sheet1!$A$1</f>
        <v>岳阳本白纸80克9号机85度550*2卷筒</v>
      </c>
      <c r="B180" s="13"/>
      <c r="C180" s="13"/>
      <c r="D180" s="13"/>
      <c r="E180" s="13"/>
      <c r="F180" s="14"/>
      <c r="G180" s="4">
        <f>[167]Sheet1!$H$5</f>
        <v>7.108</v>
      </c>
      <c r="H180" s="4"/>
      <c r="I180" s="9"/>
      <c r="J180" s="9"/>
      <c r="K180" s="9"/>
      <c r="L180" s="9"/>
      <c r="M180" s="9"/>
      <c r="N180" s="9"/>
    </row>
    <row r="181" spans="1:14">
      <c r="A181" s="12" t="str">
        <f>[168]Sheet1!$A$1</f>
        <v>岳阳本白纸80克10号机85度550*2卷筒</v>
      </c>
      <c r="B181" s="13"/>
      <c r="C181" s="13"/>
      <c r="D181" s="13"/>
      <c r="E181" s="13"/>
      <c r="F181" s="14"/>
      <c r="G181" s="4">
        <f>[168]Sheet1!$H$21</f>
        <v>21.171</v>
      </c>
      <c r="H181" s="4"/>
      <c r="I181" s="9"/>
      <c r="J181" s="9"/>
      <c r="K181" s="9"/>
      <c r="L181" s="9"/>
      <c r="M181" s="9"/>
      <c r="N181" s="9"/>
    </row>
    <row r="182" spans="1:14">
      <c r="A182" s="12" t="str">
        <f>[169]Sheet1!$A$1</f>
        <v>岳阳本白纸80克10号机85度550*787平板</v>
      </c>
      <c r="B182" s="13"/>
      <c r="C182" s="13"/>
      <c r="D182" s="13"/>
      <c r="E182" s="13"/>
      <c r="F182" s="14"/>
      <c r="G182" s="4">
        <f>[169]Sheet1!$E$33</f>
        <v>380.8</v>
      </c>
      <c r="H182" s="4"/>
      <c r="I182" s="4"/>
      <c r="J182" s="9"/>
      <c r="K182" s="9"/>
      <c r="L182" s="9"/>
      <c r="M182" s="9"/>
      <c r="N182" s="9"/>
    </row>
    <row r="183" spans="1:14">
      <c r="A183" s="12" t="str">
        <f>[170]Sheet1!$A$1</f>
        <v>岳阳本白纸80克10号机85度787*1092平板</v>
      </c>
      <c r="B183" s="13"/>
      <c r="C183" s="13"/>
      <c r="D183" s="13"/>
      <c r="E183" s="13"/>
      <c r="F183" s="14"/>
      <c r="G183" s="4">
        <f>[170]Sheet1!$E$7</f>
        <v>47.2</v>
      </c>
      <c r="H183" s="4"/>
      <c r="I183" s="4"/>
      <c r="J183" s="9"/>
      <c r="K183" s="9"/>
      <c r="L183" s="9"/>
      <c r="M183" s="9"/>
      <c r="N183" s="9"/>
    </row>
    <row r="184" spans="1:14">
      <c r="A184" s="12" t="str">
        <f>[171]Sheet1!$A$1</f>
        <v>岳阳本白纸80克10号机85度880*1194平板</v>
      </c>
      <c r="B184" s="13"/>
      <c r="C184" s="13"/>
      <c r="D184" s="13"/>
      <c r="E184" s="13"/>
      <c r="F184" s="14"/>
      <c r="G184" s="4">
        <f>[171]Sheet1!$E$22</f>
        <v>7.7</v>
      </c>
      <c r="H184" s="4"/>
      <c r="I184" s="4"/>
      <c r="J184" s="9"/>
      <c r="K184" s="9"/>
      <c r="L184" s="9"/>
      <c r="M184" s="9"/>
      <c r="N184" s="9"/>
    </row>
    <row r="185" spans="1:14">
      <c r="A185" s="12" t="str">
        <f>[172]Sheet1!$A$1</f>
        <v>岳阳本白纸食品包装纸70克800*1092平板</v>
      </c>
      <c r="B185" s="13"/>
      <c r="C185" s="13"/>
      <c r="D185" s="13"/>
      <c r="E185" s="13"/>
      <c r="F185" s="14"/>
      <c r="G185" s="4">
        <f>[172]Sheet1!$E$7</f>
        <v>2</v>
      </c>
      <c r="H185" s="4"/>
      <c r="I185" s="4"/>
      <c r="J185" s="9"/>
      <c r="K185" s="9"/>
      <c r="L185" s="9"/>
      <c r="M185" s="9"/>
      <c r="N185" s="9"/>
    </row>
    <row r="186" spans="1:14">
      <c r="A186" s="12" t="s">
        <v>79</v>
      </c>
      <c r="B186" s="13"/>
      <c r="C186" s="13"/>
      <c r="D186" s="13"/>
      <c r="E186" s="13"/>
      <c r="F186" s="14"/>
      <c r="G186" s="4">
        <f>[173]Sheet1!$E$9</f>
        <v>11.4</v>
      </c>
      <c r="H186" s="4"/>
      <c r="I186" s="4"/>
      <c r="J186" s="9"/>
      <c r="K186" s="9"/>
      <c r="L186" s="9"/>
      <c r="M186" s="9"/>
      <c r="N186" s="9"/>
    </row>
    <row r="187" spans="1:14">
      <c r="A187" s="12"/>
      <c r="B187" s="13"/>
      <c r="C187" s="13"/>
      <c r="D187" s="13"/>
      <c r="E187" s="13"/>
      <c r="F187" s="14"/>
      <c r="G187" s="4"/>
      <c r="H187" s="4"/>
      <c r="I187" s="4"/>
      <c r="J187" s="9"/>
      <c r="K187" s="9"/>
      <c r="L187" s="9"/>
      <c r="M187" s="9"/>
      <c r="N187" s="9"/>
    </row>
    <row r="188" spans="1:14">
      <c r="A188" s="12" t="str">
        <f>[174]Sheet1!$A$1</f>
        <v>岳阳复合胶版纸65克890*1194平板</v>
      </c>
      <c r="B188" s="13"/>
      <c r="C188" s="13"/>
      <c r="D188" s="13"/>
      <c r="E188" s="13"/>
      <c r="F188" s="14"/>
      <c r="G188" s="4">
        <f>[174]Sheet1!$E$9</f>
        <v>28.3</v>
      </c>
      <c r="H188" s="4"/>
      <c r="I188" s="4"/>
      <c r="J188" s="9"/>
      <c r="K188" s="9"/>
      <c r="L188" s="9"/>
      <c r="M188" s="9"/>
      <c r="N188" s="9"/>
    </row>
    <row r="189" spans="1:14">
      <c r="A189" s="12" t="str">
        <f>[175]Sheet1!$A$1</f>
        <v>岳阳复合纸65克800*1092平板</v>
      </c>
      <c r="B189" s="13"/>
      <c r="C189" s="13"/>
      <c r="D189" s="13"/>
      <c r="E189" s="13"/>
      <c r="F189" s="14"/>
      <c r="G189" s="4">
        <f>[175]Sheet1!$E$4</f>
        <v>18</v>
      </c>
      <c r="H189" s="4"/>
      <c r="I189" s="4"/>
      <c r="J189" s="9"/>
      <c r="K189" s="9"/>
      <c r="L189" s="9"/>
      <c r="M189" s="9"/>
      <c r="N189" s="9"/>
    </row>
    <row r="190" spans="1:14">
      <c r="A190" s="12" t="s">
        <v>80</v>
      </c>
      <c r="B190" s="13"/>
      <c r="C190" s="13"/>
      <c r="D190" s="13"/>
      <c r="E190" s="13"/>
      <c r="F190" s="14"/>
      <c r="G190" s="4">
        <f>[176]Sheet1!$H$5</f>
        <v>1.7</v>
      </c>
      <c r="H190" s="4"/>
      <c r="I190" s="9"/>
      <c r="J190" s="9"/>
      <c r="K190" s="9"/>
      <c r="L190" s="9"/>
      <c r="M190" s="9"/>
      <c r="N190" s="9"/>
    </row>
    <row r="191" spans="1:14">
      <c r="A191" s="12" t="str">
        <f>[177]Sheet1!$A$1</f>
        <v>岳阳轻涂纸58克787卷筒</v>
      </c>
      <c r="B191" s="13"/>
      <c r="C191" s="13"/>
      <c r="D191" s="13"/>
      <c r="E191" s="13"/>
      <c r="F191" s="14"/>
      <c r="G191" s="4">
        <f>[177]Sheet1!$H$10</f>
        <v>2.19</v>
      </c>
      <c r="H191" s="4"/>
      <c r="I191" s="9"/>
      <c r="J191" s="9"/>
      <c r="K191" s="9"/>
      <c r="L191" s="9"/>
      <c r="M191" s="9"/>
      <c r="N191" s="9"/>
    </row>
    <row r="192" spans="1:14">
      <c r="A192" s="12" t="str">
        <f>[178]Sheet1!$A$1</f>
        <v>岳阳轻涂纸58克860卷筒</v>
      </c>
      <c r="B192" s="13"/>
      <c r="C192" s="13"/>
      <c r="D192" s="13"/>
      <c r="E192" s="13"/>
      <c r="F192" s="14"/>
      <c r="G192" s="4">
        <f>[178]Sheet1!$H$8</f>
        <v>5.572</v>
      </c>
      <c r="H192" s="4"/>
      <c r="I192" s="9"/>
      <c r="J192" s="9"/>
      <c r="K192" s="9"/>
      <c r="L192" s="9"/>
      <c r="M192" s="9"/>
      <c r="N192" s="9"/>
    </row>
    <row r="193" spans="1:14">
      <c r="A193" s="12" t="str">
        <f>[179]Sheet1!$A$1</f>
        <v>岳阳轻涂纸62克850卷筒</v>
      </c>
      <c r="B193" s="13"/>
      <c r="C193" s="13"/>
      <c r="D193" s="13"/>
      <c r="E193" s="13"/>
      <c r="F193" s="14"/>
      <c r="G193" s="4">
        <f>[179]Sheet1!$H$4</f>
        <v>2.402</v>
      </c>
      <c r="H193" s="4"/>
      <c r="I193" s="9"/>
      <c r="J193" s="9"/>
      <c r="K193" s="9"/>
      <c r="L193" s="9"/>
      <c r="M193" s="9"/>
      <c r="N193" s="9"/>
    </row>
    <row r="194" spans="1:14">
      <c r="A194" s="12" t="s">
        <v>81</v>
      </c>
      <c r="B194" s="13"/>
      <c r="C194" s="13"/>
      <c r="D194" s="13"/>
      <c r="E194" s="13"/>
      <c r="F194" s="14"/>
      <c r="G194" s="4">
        <f>[180]Sheet1!$H$13</f>
        <v>27.634</v>
      </c>
      <c r="H194" s="4"/>
      <c r="I194" s="9"/>
      <c r="J194" s="9"/>
      <c r="K194" s="9"/>
      <c r="L194" s="9"/>
      <c r="M194" s="9"/>
      <c r="N194" s="9"/>
    </row>
    <row r="195" spans="1:14">
      <c r="A195" s="12" t="s">
        <v>82</v>
      </c>
      <c r="B195" s="13"/>
      <c r="C195" s="13"/>
      <c r="D195" s="13"/>
      <c r="E195" s="13"/>
      <c r="F195" s="14"/>
      <c r="G195" s="4">
        <f>[181]Sheet1!$H$12</f>
        <v>11.288</v>
      </c>
      <c r="H195" s="4"/>
      <c r="I195" s="9"/>
      <c r="J195" s="9"/>
      <c r="K195" s="9"/>
      <c r="L195" s="9"/>
      <c r="M195" s="9"/>
      <c r="N195" s="9"/>
    </row>
    <row r="196" spans="1:14">
      <c r="A196" s="12" t="str">
        <f>[182]Sheet1!$A$1</f>
        <v>岳阳轻涂纸64克870卷筒</v>
      </c>
      <c r="B196" s="13"/>
      <c r="C196" s="13"/>
      <c r="D196" s="13"/>
      <c r="E196" s="13"/>
      <c r="F196" s="14"/>
      <c r="G196" s="4">
        <f>[182]Sheet1!$H$9</f>
        <v>0.809</v>
      </c>
      <c r="H196" s="4"/>
      <c r="I196" s="9"/>
      <c r="J196" s="9"/>
      <c r="K196" s="9"/>
      <c r="L196" s="9"/>
      <c r="M196" s="9"/>
      <c r="N196" s="9"/>
    </row>
    <row r="197" spans="1:14">
      <c r="A197" s="12" t="str">
        <f>[183]Sheet1!$A$1</f>
        <v>岳阳轻涂纸64克880*1230平板</v>
      </c>
      <c r="B197" s="13"/>
      <c r="C197" s="13"/>
      <c r="D197" s="13"/>
      <c r="E197" s="13"/>
      <c r="F197" s="14"/>
      <c r="G197" s="4">
        <f>[183]Sheet1!$E$7</f>
        <v>261</v>
      </c>
      <c r="H197" s="4"/>
      <c r="I197" s="4"/>
      <c r="J197" s="9"/>
      <c r="K197" s="9"/>
      <c r="L197" s="9"/>
      <c r="M197" s="9"/>
      <c r="N197" s="9"/>
    </row>
    <row r="198" spans="1:14">
      <c r="A198" s="12" t="str">
        <f>[184]Sheet1!$A$1</f>
        <v>岳阳轻涂纸68克787卷筒</v>
      </c>
      <c r="B198" s="13"/>
      <c r="C198" s="13"/>
      <c r="D198" s="13"/>
      <c r="E198" s="13"/>
      <c r="F198" s="14"/>
      <c r="G198" s="4">
        <f>[184]Sheet1!$H$6</f>
        <v>3.705</v>
      </c>
      <c r="H198" s="4"/>
      <c r="I198" s="9"/>
      <c r="J198" s="9"/>
      <c r="K198" s="9"/>
      <c r="L198" s="9"/>
      <c r="M198" s="9"/>
      <c r="N198" s="9"/>
    </row>
    <row r="199" spans="1:14">
      <c r="A199" s="12" t="str">
        <f>[185]Sheet1!$A$1</f>
        <v>岳阳轻涂纸68克889卷筒</v>
      </c>
      <c r="B199" s="13"/>
      <c r="C199" s="13"/>
      <c r="D199" s="13"/>
      <c r="E199" s="13"/>
      <c r="F199" s="14"/>
      <c r="G199" s="4">
        <f>[185]Sheet1!$H$11</f>
        <v>2.385</v>
      </c>
      <c r="H199" s="4"/>
      <c r="I199" s="9"/>
      <c r="J199" s="9"/>
      <c r="K199" s="9"/>
      <c r="L199" s="9"/>
      <c r="M199" s="9"/>
      <c r="N199" s="9"/>
    </row>
    <row r="200" spans="1:14">
      <c r="A200" s="12" t="str">
        <f>[186]Sheet1!$A$1</f>
        <v>岳阳轻涂纸70克780卷筒</v>
      </c>
      <c r="B200" s="13"/>
      <c r="C200" s="13"/>
      <c r="D200" s="13"/>
      <c r="E200" s="13"/>
      <c r="F200" s="14"/>
      <c r="G200" s="4">
        <f>[186]Sheet1!$H$5</f>
        <v>2.202</v>
      </c>
      <c r="H200" s="4"/>
      <c r="I200" s="9"/>
      <c r="J200" s="9"/>
      <c r="K200" s="9"/>
      <c r="L200" s="9"/>
      <c r="M200" s="9"/>
      <c r="N200" s="9"/>
    </row>
    <row r="201" spans="1:14">
      <c r="A201" s="12" t="str">
        <f>[187]Sheet1!$A$1</f>
        <v>岳阳轻涂纸70克787卷筒</v>
      </c>
      <c r="B201" s="13"/>
      <c r="C201" s="13"/>
      <c r="D201" s="13"/>
      <c r="E201" s="13"/>
      <c r="F201" s="14"/>
      <c r="G201" s="4">
        <f>[187]Sheet1!$H$12</f>
        <v>0.716</v>
      </c>
      <c r="H201" s="4"/>
      <c r="I201" s="9"/>
      <c r="J201" s="9"/>
      <c r="K201" s="9"/>
      <c r="L201" s="9"/>
      <c r="M201" s="9"/>
      <c r="N201" s="9"/>
    </row>
    <row r="202" spans="1:14">
      <c r="A202" s="12" t="s">
        <v>83</v>
      </c>
      <c r="B202" s="13"/>
      <c r="C202" s="13"/>
      <c r="D202" s="13"/>
      <c r="E202" s="13"/>
      <c r="F202" s="14"/>
      <c r="G202" s="4">
        <f>[188]Sheet1!$E$5</f>
        <v>65</v>
      </c>
      <c r="H202" s="4"/>
      <c r="I202" s="4"/>
      <c r="J202" s="9"/>
      <c r="K202" s="9"/>
      <c r="L202" s="9"/>
      <c r="M202" s="9"/>
      <c r="N202" s="9"/>
    </row>
    <row r="203" spans="1:14">
      <c r="A203" s="12" t="s">
        <v>84</v>
      </c>
      <c r="B203" s="13"/>
      <c r="C203" s="13"/>
      <c r="D203" s="13"/>
      <c r="E203" s="13"/>
      <c r="F203" s="14"/>
      <c r="G203" s="4">
        <f>[189]Sheet1!$E$12</f>
        <v>41.84</v>
      </c>
      <c r="H203" s="4"/>
      <c r="I203" s="4"/>
      <c r="J203" s="9"/>
      <c r="K203" s="9"/>
      <c r="L203" s="9"/>
      <c r="M203" s="9"/>
      <c r="N203" s="9"/>
    </row>
    <row r="204" spans="1:14">
      <c r="A204" s="12" t="s">
        <v>85</v>
      </c>
      <c r="B204" s="13"/>
      <c r="C204" s="13"/>
      <c r="D204" s="13"/>
      <c r="E204" s="13"/>
      <c r="F204" s="14"/>
      <c r="G204" s="4">
        <f>[190]Sheet1!$E$4</f>
        <v>164</v>
      </c>
      <c r="H204" s="4"/>
      <c r="I204" s="4"/>
      <c r="J204" s="9"/>
      <c r="K204" s="9"/>
      <c r="L204" s="9"/>
      <c r="M204" s="9"/>
      <c r="N204" s="9"/>
    </row>
    <row r="205" spans="1:14">
      <c r="A205" s="12" t="str">
        <f>[191]Sheet1!$A$1</f>
        <v>岳阳轻涂纸79克880卷筒</v>
      </c>
      <c r="B205" s="13"/>
      <c r="C205" s="13"/>
      <c r="D205" s="13"/>
      <c r="E205" s="13"/>
      <c r="F205" s="14"/>
      <c r="G205" s="4">
        <f>[191]Sheet1!$H$4</f>
        <v>0.811</v>
      </c>
      <c r="H205" s="4"/>
      <c r="I205" s="9"/>
      <c r="J205" s="9"/>
      <c r="K205" s="9"/>
      <c r="L205" s="9"/>
      <c r="M205" s="9"/>
      <c r="N205" s="9"/>
    </row>
    <row r="206" spans="1:14">
      <c r="A206" s="12" t="s">
        <v>86</v>
      </c>
      <c r="B206" s="13"/>
      <c r="C206" s="13"/>
      <c r="D206" s="13"/>
      <c r="E206" s="13"/>
      <c r="F206" s="14"/>
      <c r="G206" s="4">
        <f>[192]Sheet1!$H$15</f>
        <v>2.926</v>
      </c>
      <c r="H206" s="4"/>
      <c r="I206" s="9"/>
      <c r="J206" s="9"/>
      <c r="K206" s="9"/>
      <c r="L206" s="9"/>
      <c r="M206" s="9"/>
      <c r="N206" s="9"/>
    </row>
    <row r="207" spans="1:14">
      <c r="A207" s="12" t="s">
        <v>87</v>
      </c>
      <c r="B207" s="13"/>
      <c r="C207" s="13"/>
      <c r="D207" s="13"/>
      <c r="E207" s="13"/>
      <c r="F207" s="14"/>
      <c r="G207" s="4">
        <f>[193]Sheet1!$E$14</f>
        <v>74.3</v>
      </c>
      <c r="H207" s="4"/>
      <c r="I207" s="4"/>
      <c r="J207" s="9"/>
      <c r="K207" s="9"/>
      <c r="L207" s="9"/>
      <c r="M207" s="9"/>
      <c r="N207" s="9"/>
    </row>
    <row r="208" spans="1:14">
      <c r="A208" s="12" t="str">
        <f>[194]Sheet1!$A$1</f>
        <v>岳阳轻涂纸80克880卷筒</v>
      </c>
      <c r="B208" s="13"/>
      <c r="C208" s="13"/>
      <c r="D208" s="13"/>
      <c r="E208" s="13"/>
      <c r="F208" s="14"/>
      <c r="G208" s="4">
        <f>[194]Sheet1!$H$6</f>
        <v>6.394</v>
      </c>
      <c r="H208" s="4"/>
      <c r="I208" s="9"/>
      <c r="J208" s="9"/>
      <c r="K208" s="9"/>
      <c r="L208" s="9"/>
      <c r="M208" s="9"/>
      <c r="N208" s="9"/>
    </row>
    <row r="209" spans="1:14">
      <c r="A209" s="12" t="s">
        <v>88</v>
      </c>
      <c r="B209" s="13"/>
      <c r="C209" s="13"/>
      <c r="D209" s="13"/>
      <c r="E209" s="13"/>
      <c r="F209" s="14"/>
      <c r="G209" s="4">
        <f>[195]Sheet1!$E$5</f>
        <v>29.3</v>
      </c>
      <c r="H209" s="4"/>
      <c r="I209" s="4"/>
      <c r="J209" s="9"/>
      <c r="K209" s="9"/>
      <c r="L209" s="9"/>
      <c r="M209" s="9"/>
      <c r="N209" s="9"/>
    </row>
    <row r="210" spans="1:14">
      <c r="A210" s="12" t="s">
        <v>89</v>
      </c>
      <c r="B210" s="13"/>
      <c r="C210" s="13"/>
      <c r="D210" s="13"/>
      <c r="E210" s="13"/>
      <c r="F210" s="14"/>
      <c r="G210" s="4">
        <f>[196]Sheet1!$H$21</f>
        <v>8.107</v>
      </c>
      <c r="H210" s="4"/>
      <c r="I210" s="9"/>
      <c r="J210" s="9"/>
      <c r="K210" s="9"/>
      <c r="L210" s="9"/>
      <c r="M210" s="9"/>
      <c r="N210" s="9"/>
    </row>
    <row r="211" spans="1:14">
      <c r="A211" s="12" t="s">
        <v>90</v>
      </c>
      <c r="B211" s="13"/>
      <c r="C211" s="13"/>
      <c r="D211" s="13"/>
      <c r="E211" s="13"/>
      <c r="F211" s="14"/>
      <c r="G211" s="4">
        <f>[197]Sheet1!$E$24</f>
        <v>41.6</v>
      </c>
      <c r="H211" s="4"/>
      <c r="I211" s="4"/>
      <c r="J211" s="9"/>
      <c r="K211" s="9"/>
      <c r="L211" s="9"/>
      <c r="M211" s="9"/>
      <c r="N211" s="9"/>
    </row>
    <row r="212" spans="1:14">
      <c r="A212" s="12"/>
      <c r="B212" s="13"/>
      <c r="C212" s="13"/>
      <c r="D212" s="13"/>
      <c r="E212" s="13"/>
      <c r="F212" s="14"/>
      <c r="G212" s="4"/>
      <c r="H212" s="4"/>
      <c r="I212" s="4"/>
      <c r="J212" s="9"/>
      <c r="K212" s="9"/>
      <c r="L212" s="9"/>
      <c r="M212" s="9"/>
      <c r="N212" s="9"/>
    </row>
    <row r="213" spans="1:14">
      <c r="A213" s="12" t="str">
        <f>[198]Sheet1!$A$1</f>
        <v>岳阳轻型纸60克9号机800*1092平板</v>
      </c>
      <c r="B213" s="13"/>
      <c r="C213" s="13"/>
      <c r="D213" s="13"/>
      <c r="E213" s="13"/>
      <c r="F213" s="14"/>
      <c r="G213" s="4">
        <f>[198]Sheet1!$E$5</f>
        <v>118.7</v>
      </c>
      <c r="H213" s="4"/>
      <c r="I213" s="4"/>
      <c r="J213" s="9"/>
      <c r="K213" s="9"/>
      <c r="L213" s="9"/>
      <c r="M213" s="9"/>
      <c r="N213" s="9"/>
    </row>
    <row r="214" spans="1:14">
      <c r="A214" s="12" t="s">
        <v>91</v>
      </c>
      <c r="B214" s="13"/>
      <c r="C214" s="13"/>
      <c r="D214" s="13"/>
      <c r="E214" s="13"/>
      <c r="F214" s="14"/>
      <c r="G214" s="4">
        <f>[199]Sheet1!$H$7</f>
        <v>7.677</v>
      </c>
      <c r="H214" s="4"/>
      <c r="I214" s="9"/>
      <c r="J214" s="9"/>
      <c r="K214" s="9"/>
      <c r="L214" s="9"/>
      <c r="M214" s="9"/>
      <c r="N214" s="9"/>
    </row>
    <row r="215" spans="1:14">
      <c r="A215" s="12" t="str">
        <f>[200]Sheet1!$A$1</f>
        <v>岳阳轻型纸70克9号机787*1092平板</v>
      </c>
      <c r="B215" s="13"/>
      <c r="C215" s="13"/>
      <c r="D215" s="13"/>
      <c r="E215" s="13"/>
      <c r="F215" s="14"/>
      <c r="G215" s="4">
        <f>[200]Sheet1!$E$7</f>
        <v>54.8</v>
      </c>
      <c r="H215" s="27"/>
      <c r="I215" s="4"/>
      <c r="J215" s="9"/>
      <c r="K215" s="9"/>
      <c r="L215" s="9"/>
      <c r="M215" s="9"/>
      <c r="N215" s="9"/>
    </row>
    <row r="216" spans="1:14">
      <c r="A216" s="12" t="str">
        <f>[201]Sheet1!$A$1</f>
        <v>岳阳轻型纸9号机80克800*1092平板</v>
      </c>
      <c r="B216" s="13"/>
      <c r="C216" s="13"/>
      <c r="D216" s="13"/>
      <c r="E216" s="13"/>
      <c r="F216" s="14"/>
      <c r="G216" s="4">
        <f>[201]Sheet1!$E$6</f>
        <v>184.8</v>
      </c>
      <c r="H216" s="4"/>
      <c r="I216" s="4"/>
      <c r="J216" s="9"/>
      <c r="K216" s="9"/>
      <c r="L216" s="9"/>
      <c r="M216" s="9"/>
      <c r="N216" s="9"/>
    </row>
    <row r="217" spans="1:14">
      <c r="A217" s="12" t="s">
        <v>92</v>
      </c>
      <c r="B217" s="13"/>
      <c r="C217" s="13"/>
      <c r="D217" s="13"/>
      <c r="E217" s="13"/>
      <c r="F217" s="14"/>
      <c r="G217" s="4">
        <f>[202]Sheet1!$E$23</f>
        <v>65.5</v>
      </c>
      <c r="H217" s="4"/>
      <c r="I217" s="4"/>
      <c r="J217" s="9"/>
      <c r="K217" s="9"/>
      <c r="L217" s="9"/>
      <c r="M217" s="9"/>
      <c r="N217" s="9"/>
    </row>
    <row r="218" spans="1:14">
      <c r="A218" s="12" t="str">
        <f>[203]Sheet1!$A$1</f>
        <v>岳阳轻型纸58克10号机81度870卷筒</v>
      </c>
      <c r="B218" s="13"/>
      <c r="C218" s="13"/>
      <c r="D218" s="13"/>
      <c r="E218" s="13"/>
      <c r="F218" s="14"/>
      <c r="G218" s="4">
        <f>[203]Sheet1!$H$6</f>
        <v>3.276</v>
      </c>
      <c r="H218" s="4"/>
      <c r="I218" s="9"/>
      <c r="J218" s="9"/>
      <c r="K218" s="9"/>
      <c r="L218" s="9"/>
      <c r="M218" s="9"/>
      <c r="N218" s="9"/>
    </row>
    <row r="219" spans="1:14">
      <c r="A219" s="12" t="s">
        <v>93</v>
      </c>
      <c r="B219" s="13"/>
      <c r="C219" s="13"/>
      <c r="D219" s="13"/>
      <c r="E219" s="13"/>
      <c r="F219" s="14"/>
      <c r="G219" s="4">
        <f>[205]Sheet1!$H$7</f>
        <v>9.471</v>
      </c>
      <c r="H219" s="4"/>
      <c r="I219" s="9"/>
      <c r="J219" s="9"/>
      <c r="K219" s="9"/>
      <c r="L219" s="9"/>
      <c r="M219" s="9"/>
      <c r="N219" s="9"/>
    </row>
    <row r="220" spans="1:14">
      <c r="A220" s="12" t="str">
        <f>[206]Sheet1!$A$1</f>
        <v>岳阳轻型纸58克10号机1000*720平板</v>
      </c>
      <c r="B220" s="13"/>
      <c r="C220" s="13"/>
      <c r="D220" s="13"/>
      <c r="E220" s="13"/>
      <c r="F220" s="14"/>
      <c r="G220" s="4">
        <f>[206]Sheet1!$E$11</f>
        <v>7.3</v>
      </c>
      <c r="H220" s="4"/>
      <c r="I220" s="4"/>
      <c r="J220" s="9"/>
      <c r="K220" s="9"/>
      <c r="L220" s="9"/>
      <c r="M220" s="9"/>
      <c r="N220" s="9"/>
    </row>
    <row r="221" spans="1:14">
      <c r="A221" s="12" t="str">
        <f>[207]Sheet1!$A$1</f>
        <v>岳阳轻型纸58克1092*787平板</v>
      </c>
      <c r="B221" s="13"/>
      <c r="C221" s="13"/>
      <c r="D221" s="13"/>
      <c r="E221" s="13"/>
      <c r="F221" s="14"/>
      <c r="G221" s="4">
        <f>[207]Sheet1!$E$5</f>
        <v>71</v>
      </c>
      <c r="H221" s="4"/>
      <c r="I221" s="4"/>
      <c r="J221" s="9"/>
      <c r="K221" s="9"/>
      <c r="L221" s="9"/>
      <c r="M221" s="9"/>
      <c r="N221" s="9"/>
    </row>
    <row r="222" spans="1:14">
      <c r="A222" s="12" t="s">
        <v>94</v>
      </c>
      <c r="B222" s="13"/>
      <c r="C222" s="13"/>
      <c r="D222" s="13"/>
      <c r="E222" s="13"/>
      <c r="F222" s="14"/>
      <c r="G222" s="4">
        <f>[204]Sheet1!$E$14</f>
        <v>12.5</v>
      </c>
      <c r="H222" s="4"/>
      <c r="I222" s="4"/>
      <c r="J222" s="9"/>
      <c r="K222" s="9"/>
      <c r="L222" s="9"/>
      <c r="M222" s="9"/>
      <c r="N222" s="9"/>
    </row>
    <row r="223" spans="1:14">
      <c r="A223" s="12" t="str">
        <f>[208]Sheet1!$A$1</f>
        <v>岳阳轻型纸60克10号机81度770卷筒</v>
      </c>
      <c r="B223" s="13"/>
      <c r="C223" s="13"/>
      <c r="D223" s="13"/>
      <c r="E223" s="13"/>
      <c r="F223" s="14"/>
      <c r="G223" s="4">
        <f>[208]Sheet1!$H$16</f>
        <v>1.245</v>
      </c>
      <c r="H223" s="4"/>
      <c r="I223" s="9"/>
      <c r="J223" s="9"/>
      <c r="K223" s="9"/>
      <c r="L223" s="9"/>
      <c r="M223" s="9"/>
      <c r="N223" s="9"/>
    </row>
    <row r="224" spans="1:14">
      <c r="A224" s="12" t="str">
        <f>[209]Sheet1!$A$1</f>
        <v>岳阳60克轻型纸10号机720卷筒</v>
      </c>
      <c r="B224" s="13"/>
      <c r="C224" s="13"/>
      <c r="D224" s="13"/>
      <c r="E224" s="13"/>
      <c r="F224" s="14"/>
      <c r="G224" s="4">
        <f>[209]Sheet1!$H$16</f>
        <v>4.176</v>
      </c>
      <c r="H224" s="4"/>
      <c r="I224" s="9"/>
      <c r="J224" s="9"/>
      <c r="K224" s="9"/>
      <c r="L224" s="9"/>
      <c r="M224" s="9"/>
      <c r="N224" s="9"/>
    </row>
    <row r="225" spans="1:14">
      <c r="A225" s="12" t="s">
        <v>95</v>
      </c>
      <c r="B225" s="13"/>
      <c r="C225" s="13"/>
      <c r="D225" s="13"/>
      <c r="E225" s="13"/>
      <c r="F225" s="14"/>
      <c r="G225" s="4">
        <f>[210]Sheet1!$E$36</f>
        <v>108.3</v>
      </c>
      <c r="H225" s="4"/>
      <c r="I225" s="4"/>
      <c r="J225" s="9"/>
      <c r="K225" s="9"/>
      <c r="L225" s="9"/>
      <c r="M225" s="9"/>
      <c r="N225" s="9"/>
    </row>
    <row r="226" spans="1:14">
      <c r="A226" s="12" t="s">
        <v>96</v>
      </c>
      <c r="B226" s="13"/>
      <c r="C226" s="13"/>
      <c r="D226" s="13"/>
      <c r="E226" s="13"/>
      <c r="F226" s="14"/>
      <c r="G226" s="4">
        <f>[211]Sheet1!$E$26</f>
        <v>26.6</v>
      </c>
      <c r="H226" s="4"/>
      <c r="I226" s="4"/>
      <c r="J226" s="9"/>
      <c r="K226" s="9"/>
      <c r="L226" s="9"/>
      <c r="M226" s="9"/>
      <c r="N226" s="9"/>
    </row>
    <row r="227" spans="1:14">
      <c r="A227" s="12" t="s">
        <v>97</v>
      </c>
      <c r="B227" s="13"/>
      <c r="C227" s="13"/>
      <c r="D227" s="13"/>
      <c r="E227" s="13"/>
      <c r="F227" s="14"/>
      <c r="G227" s="4">
        <f>[212]Sheet1!$E$20</f>
        <v>25.8</v>
      </c>
      <c r="H227" s="4"/>
      <c r="I227" s="4"/>
      <c r="J227" s="9"/>
      <c r="K227" s="9"/>
      <c r="L227" s="9"/>
      <c r="M227" s="9"/>
      <c r="N227" s="9"/>
    </row>
    <row r="228" spans="1:14">
      <c r="A228" s="12" t="str">
        <f>[213]Sheet1!$A$1</f>
        <v>岳阳60克10号机轻型纸889*1194平板</v>
      </c>
      <c r="B228" s="13"/>
      <c r="C228" s="13"/>
      <c r="D228" s="13"/>
      <c r="E228" s="13"/>
      <c r="F228" s="14"/>
      <c r="G228" s="4">
        <f>[213]Sheet1!$E$10</f>
        <v>4.1</v>
      </c>
      <c r="H228" s="4"/>
      <c r="I228" s="4"/>
      <c r="J228" s="9"/>
      <c r="K228" s="9"/>
      <c r="L228" s="9"/>
      <c r="M228" s="9"/>
      <c r="N228" s="9"/>
    </row>
    <row r="229" spans="1:14">
      <c r="A229" s="12" t="str">
        <f>[214]Sheet1!$A$1</f>
        <v>岳阳轻型纸60克890*1194平板</v>
      </c>
      <c r="B229" s="13"/>
      <c r="C229" s="13"/>
      <c r="D229" s="13"/>
      <c r="E229" s="13"/>
      <c r="F229" s="14"/>
      <c r="G229" s="4">
        <f>[214]Sheet1!$E$11</f>
        <v>35</v>
      </c>
      <c r="H229" s="4"/>
      <c r="I229" s="4"/>
      <c r="J229" s="9"/>
      <c r="K229" s="9"/>
      <c r="L229" s="9"/>
      <c r="M229" s="9"/>
      <c r="N229" s="9"/>
    </row>
    <row r="230" spans="1:14">
      <c r="A230" s="12" t="str">
        <f>[215]Sheet1!$A$1</f>
        <v>岳阳轻型纸65克2号机77度720卷筒</v>
      </c>
      <c r="B230" s="13"/>
      <c r="C230" s="13"/>
      <c r="D230" s="13"/>
      <c r="E230" s="13"/>
      <c r="F230" s="14"/>
      <c r="G230" s="4">
        <f>[215]Sheet1!$H$12</f>
        <v>2.918</v>
      </c>
      <c r="H230" s="4"/>
      <c r="I230" s="9"/>
      <c r="J230" s="9"/>
      <c r="K230" s="9"/>
      <c r="L230" s="9"/>
      <c r="M230" s="9"/>
      <c r="N230" s="9"/>
    </row>
    <row r="231" spans="1:14">
      <c r="A231" s="12" t="str">
        <f>[216]Sheet1!$A$1</f>
        <v>岳阳轻型纸65克2号机77度720*1000平板</v>
      </c>
      <c r="B231" s="13"/>
      <c r="C231" s="13"/>
      <c r="D231" s="13"/>
      <c r="E231" s="13"/>
      <c r="F231" s="14"/>
      <c r="G231" s="4">
        <f>[216]Sheet1!$E$15</f>
        <v>74.2</v>
      </c>
      <c r="H231" s="4"/>
      <c r="I231" s="4"/>
      <c r="J231" s="9"/>
      <c r="K231" s="9"/>
      <c r="L231" s="9"/>
      <c r="M231" s="9"/>
      <c r="N231" s="9"/>
    </row>
    <row r="232" spans="1:14">
      <c r="A232" s="12" t="str">
        <f>[217]Sheet1!$A$1</f>
        <v>岳阳轻型纸65克2号机77度787卷筒</v>
      </c>
      <c r="B232" s="13"/>
      <c r="C232" s="13"/>
      <c r="D232" s="13"/>
      <c r="E232" s="13"/>
      <c r="F232" s="14"/>
      <c r="G232" s="4">
        <f>[217]Sheet1!$H$11</f>
        <v>5.323</v>
      </c>
      <c r="H232" s="4"/>
      <c r="I232" s="9"/>
      <c r="J232" s="9"/>
      <c r="K232" s="9"/>
      <c r="L232" s="9"/>
      <c r="M232" s="9"/>
      <c r="N232" s="9"/>
    </row>
    <row r="233" spans="1:14">
      <c r="A233" s="12" t="str">
        <f>[218]Sheet1!$A$1</f>
        <v>岳阳轻型纸65克2号机77度787*1092</v>
      </c>
      <c r="B233" s="13"/>
      <c r="C233" s="13"/>
      <c r="D233" s="13"/>
      <c r="E233" s="13"/>
      <c r="F233" s="14"/>
      <c r="G233" s="4">
        <f>[218]Sheet1!$E$13</f>
        <v>4</v>
      </c>
      <c r="H233" s="4"/>
      <c r="I233" s="4"/>
      <c r="J233" s="9"/>
      <c r="K233" s="9"/>
      <c r="L233" s="9"/>
      <c r="M233" s="9"/>
      <c r="N233" s="9"/>
    </row>
    <row r="234" spans="1:14">
      <c r="A234" s="12" t="str">
        <f>[219]Sheet1!$A$1</f>
        <v>岳阳轻型纸65克2号机77度889卷筒</v>
      </c>
      <c r="B234" s="13"/>
      <c r="C234" s="13"/>
      <c r="D234" s="13"/>
      <c r="E234" s="13"/>
      <c r="F234" s="14"/>
      <c r="G234" s="4">
        <f>[219]Sheet1!$H$14</f>
        <v>7.29</v>
      </c>
      <c r="H234" s="4"/>
      <c r="I234" s="9"/>
      <c r="J234" s="9"/>
      <c r="K234" s="9"/>
      <c r="L234" s="9"/>
      <c r="M234" s="9"/>
      <c r="N234" s="9"/>
    </row>
    <row r="235" spans="1:14">
      <c r="A235" s="12" t="s">
        <v>98</v>
      </c>
      <c r="B235" s="13"/>
      <c r="C235" s="13"/>
      <c r="D235" s="13"/>
      <c r="E235" s="13"/>
      <c r="F235" s="14"/>
      <c r="G235" s="4">
        <f>[220]Sheet1!$E$168</f>
        <v>101.9</v>
      </c>
      <c r="H235" s="4"/>
      <c r="I235" s="4"/>
      <c r="J235" s="9"/>
      <c r="K235" s="9"/>
      <c r="L235" s="9"/>
      <c r="M235" s="9"/>
      <c r="N235" s="9"/>
    </row>
    <row r="236" spans="1:14">
      <c r="A236" s="12" t="str">
        <f>[221]Sheet1!$A$1</f>
        <v>岳阳轻型纸65克2号机700卷筒</v>
      </c>
      <c r="B236" s="13"/>
      <c r="C236" s="13"/>
      <c r="D236" s="13"/>
      <c r="E236" s="13"/>
      <c r="F236" s="14"/>
      <c r="G236" s="4">
        <f>[221]Sheet1!$H$16</f>
        <v>7.321</v>
      </c>
      <c r="H236" s="4"/>
      <c r="I236" s="9"/>
      <c r="J236" s="9"/>
      <c r="K236" s="9"/>
      <c r="L236" s="9"/>
      <c r="M236" s="9"/>
      <c r="N236" s="9"/>
    </row>
    <row r="237" spans="1:14">
      <c r="A237" s="12" t="str">
        <f>[222]Sheet1!$A$1</f>
        <v>岳阳轻型纸65克2号机700*1000平板</v>
      </c>
      <c r="B237" s="13"/>
      <c r="C237" s="13"/>
      <c r="D237" s="13"/>
      <c r="E237" s="13"/>
      <c r="F237" s="14"/>
      <c r="G237" s="4">
        <f>[222]Sheet1!$E$27</f>
        <v>31.8</v>
      </c>
      <c r="H237" s="4"/>
      <c r="I237" s="4"/>
      <c r="J237" s="9"/>
      <c r="K237" s="9"/>
      <c r="L237" s="9"/>
      <c r="M237" s="9"/>
      <c r="N237" s="9"/>
    </row>
    <row r="238" spans="1:14">
      <c r="A238" s="12" t="s">
        <v>99</v>
      </c>
      <c r="B238" s="13"/>
      <c r="C238" s="13"/>
      <c r="D238" s="13"/>
      <c r="E238" s="13"/>
      <c r="F238" s="14"/>
      <c r="G238" s="4">
        <f>[223]Sheet1!$H$10</f>
        <v>5.988</v>
      </c>
      <c r="H238" s="4"/>
      <c r="I238" s="9"/>
      <c r="J238" s="9"/>
      <c r="K238" s="9"/>
      <c r="L238" s="9"/>
      <c r="M238" s="9"/>
      <c r="N238" s="9"/>
    </row>
    <row r="239" spans="1:14">
      <c r="A239" s="12" t="s">
        <v>100</v>
      </c>
      <c r="B239" s="13"/>
      <c r="C239" s="13"/>
      <c r="D239" s="13"/>
      <c r="E239" s="13"/>
      <c r="F239" s="14"/>
      <c r="G239" s="4">
        <f>[224]Sheet1!$E$12</f>
        <v>3.5</v>
      </c>
      <c r="H239" s="4"/>
      <c r="I239" s="4"/>
      <c r="J239" s="9"/>
      <c r="K239" s="9"/>
      <c r="L239" s="9"/>
      <c r="M239" s="9"/>
      <c r="N239" s="9"/>
    </row>
    <row r="240" spans="1:14">
      <c r="A240" s="12" t="str">
        <f>[225]Sheet1!$A$1</f>
        <v>岳阳轻型纸70克710*1000</v>
      </c>
      <c r="B240" s="13"/>
      <c r="C240" s="13"/>
      <c r="D240" s="13"/>
      <c r="E240" s="13"/>
      <c r="F240" s="14"/>
      <c r="G240" s="4">
        <f>[225]Sheet1!$E$6</f>
        <v>36.6</v>
      </c>
      <c r="H240" s="4"/>
      <c r="I240" s="4"/>
      <c r="J240" s="9"/>
      <c r="K240" s="9"/>
      <c r="L240" s="9"/>
      <c r="M240" s="9"/>
      <c r="N240" s="9"/>
    </row>
    <row r="241" spans="1:14">
      <c r="A241" s="12" t="s">
        <v>101</v>
      </c>
      <c r="B241" s="13"/>
      <c r="C241" s="13"/>
      <c r="D241" s="13"/>
      <c r="E241" s="13"/>
      <c r="F241" s="14"/>
      <c r="G241" s="4">
        <f>[226]Sheet1!$E$4</f>
        <v>14</v>
      </c>
      <c r="H241" s="4"/>
      <c r="I241" s="4"/>
      <c r="J241" s="9"/>
      <c r="K241" s="9"/>
      <c r="L241" s="9"/>
      <c r="M241" s="9"/>
      <c r="N241" s="9"/>
    </row>
    <row r="242" spans="1:14">
      <c r="A242" s="12" t="str">
        <f>[227]Sheet1!$A$1</f>
        <v>岳阳轻型纸75克2号机77度720卷筒</v>
      </c>
      <c r="B242" s="13"/>
      <c r="C242" s="13"/>
      <c r="D242" s="13"/>
      <c r="E242" s="13"/>
      <c r="F242" s="14"/>
      <c r="G242" s="4">
        <f>[227]Sheet1!$H$13</f>
        <v>5.046</v>
      </c>
      <c r="H242" s="4"/>
      <c r="I242" s="9"/>
      <c r="J242" s="9"/>
      <c r="K242" s="9"/>
      <c r="L242" s="9"/>
      <c r="M242" s="9"/>
      <c r="N242" s="9"/>
    </row>
    <row r="243" spans="1:14">
      <c r="A243" s="12" t="str">
        <f>[228]Sheet1!$A$1</f>
        <v>岳阳轻型纸75克2号机77度720*1000平板</v>
      </c>
      <c r="B243" s="13"/>
      <c r="C243" s="13"/>
      <c r="D243" s="13"/>
      <c r="E243" s="13"/>
      <c r="F243" s="14"/>
      <c r="G243" s="4">
        <f>[228]Sheet1!$E$14</f>
        <v>0.3</v>
      </c>
      <c r="H243" s="4"/>
      <c r="I243" s="4"/>
      <c r="J243" s="9"/>
      <c r="K243" s="9"/>
      <c r="L243" s="9"/>
      <c r="M243" s="9"/>
      <c r="N243" s="9"/>
    </row>
    <row r="244" spans="1:14">
      <c r="A244" s="12" t="s">
        <v>102</v>
      </c>
      <c r="B244" s="13"/>
      <c r="C244" s="13"/>
      <c r="D244" s="13"/>
      <c r="E244" s="13"/>
      <c r="F244" s="14"/>
      <c r="G244" s="4">
        <f>[229]Sheet1!$H$37</f>
        <v>15.013</v>
      </c>
      <c r="H244" s="4"/>
      <c r="I244" s="9"/>
      <c r="J244" s="9"/>
      <c r="K244" s="9"/>
      <c r="L244" s="9"/>
      <c r="M244" s="9"/>
      <c r="N244" s="9"/>
    </row>
    <row r="245" spans="1:14">
      <c r="A245" s="12" t="s">
        <v>103</v>
      </c>
      <c r="B245" s="13"/>
      <c r="C245" s="13"/>
      <c r="D245" s="13"/>
      <c r="E245" s="13"/>
      <c r="F245" s="14"/>
      <c r="G245" s="4">
        <f>[230]Sheet1!$E$48</f>
        <v>88.4</v>
      </c>
      <c r="H245" s="4"/>
      <c r="I245" s="4"/>
      <c r="J245" s="9"/>
      <c r="K245" s="9"/>
      <c r="L245" s="9"/>
      <c r="M245" s="9"/>
      <c r="N245" s="9"/>
    </row>
    <row r="246" spans="1:14">
      <c r="A246" s="12" t="s">
        <v>104</v>
      </c>
      <c r="B246" s="13"/>
      <c r="C246" s="13"/>
      <c r="D246" s="13"/>
      <c r="E246" s="13"/>
      <c r="F246" s="14"/>
      <c r="G246" s="4">
        <f>[231]Sheet1!$H$38</f>
        <v>45.152</v>
      </c>
      <c r="H246" s="4"/>
      <c r="I246" s="9"/>
      <c r="J246" s="9"/>
      <c r="K246" s="9"/>
      <c r="L246" s="9"/>
      <c r="M246" s="9"/>
      <c r="N246" s="9"/>
    </row>
    <row r="247" spans="1:14">
      <c r="A247" s="12" t="s">
        <v>105</v>
      </c>
      <c r="B247" s="13"/>
      <c r="C247" s="13"/>
      <c r="D247" s="13"/>
      <c r="E247" s="13"/>
      <c r="F247" s="14"/>
      <c r="G247" s="4">
        <f>[232]Sheet1!$E$98</f>
        <v>121</v>
      </c>
      <c r="H247" s="4"/>
      <c r="I247" s="4"/>
      <c r="J247" s="9"/>
      <c r="K247" s="9"/>
      <c r="L247" s="9"/>
      <c r="M247" s="9"/>
      <c r="N247" s="9"/>
    </row>
    <row r="248" spans="1:14">
      <c r="A248" s="12" t="str">
        <f>[233]Sheet1!$A$1</f>
        <v>岳阳轻型纸75克2号机77度1000卷筒</v>
      </c>
      <c r="B248" s="13"/>
      <c r="C248" s="13"/>
      <c r="D248" s="13"/>
      <c r="E248" s="13"/>
      <c r="F248" s="14"/>
      <c r="G248" s="4">
        <f>[233]Sheet1!$H$6</f>
        <v>13.937</v>
      </c>
      <c r="H248" s="4"/>
      <c r="I248" s="9"/>
      <c r="J248" s="9"/>
      <c r="K248" s="9"/>
      <c r="L248" s="9"/>
      <c r="M248" s="9"/>
      <c r="N248" s="9"/>
    </row>
    <row r="249" spans="1:14">
      <c r="A249" s="12" t="str">
        <f>[234]Sheet1!$A$1</f>
        <v>岳阳轻型纸75克2号机77度1000*720平板</v>
      </c>
      <c r="B249" s="13"/>
      <c r="C249" s="13"/>
      <c r="D249" s="13"/>
      <c r="E249" s="13"/>
      <c r="F249" s="14"/>
      <c r="G249" s="4">
        <f>[234]Sheet1!$E$5</f>
        <v>59.3</v>
      </c>
      <c r="H249" s="4"/>
      <c r="I249" s="4"/>
      <c r="J249" s="9"/>
      <c r="K249" s="9"/>
      <c r="L249" s="9"/>
      <c r="M249" s="9"/>
      <c r="N249" s="9"/>
    </row>
    <row r="250" spans="1:14">
      <c r="A250" s="12" t="str">
        <f>[235]Sheet1!$A$1</f>
        <v>岳阳轻型纸78克2号机787卷筒</v>
      </c>
      <c r="B250" s="13"/>
      <c r="C250" s="13"/>
      <c r="D250" s="13"/>
      <c r="E250" s="13"/>
      <c r="F250" s="14"/>
      <c r="G250" s="4">
        <f>[235]Sheet1!$H$8</f>
        <v>2.65</v>
      </c>
      <c r="H250" s="4"/>
      <c r="I250" s="9"/>
      <c r="J250" s="9"/>
      <c r="K250" s="9"/>
      <c r="L250" s="9"/>
      <c r="M250" s="9"/>
      <c r="N250" s="9"/>
    </row>
    <row r="251" spans="1:14">
      <c r="A251" s="12" t="str">
        <f>[236]Sheet1!$A$1</f>
        <v>岳阳轻型纸78克2号机990卷筒</v>
      </c>
      <c r="B251" s="13"/>
      <c r="C251" s="13"/>
      <c r="D251" s="13"/>
      <c r="E251" s="13"/>
      <c r="F251" s="14"/>
      <c r="G251" s="4">
        <f>[236]Sheet1!$H$4</f>
        <v>2.1</v>
      </c>
      <c r="H251" s="4"/>
      <c r="I251" s="9"/>
      <c r="J251" s="9"/>
      <c r="K251" s="9"/>
      <c r="L251" s="9"/>
      <c r="M251" s="9"/>
      <c r="N251" s="9"/>
    </row>
    <row r="252" spans="1:14">
      <c r="A252" s="12" t="str">
        <f>[237]Sheet1!$A$1</f>
        <v>岳阳轻型纸80克2号机889卷筒</v>
      </c>
      <c r="B252" s="13"/>
      <c r="C252" s="13"/>
      <c r="D252" s="13"/>
      <c r="E252" s="13"/>
      <c r="F252" s="14"/>
      <c r="G252" s="4">
        <f>[237]Sheet1!$H$10</f>
        <v>17.858</v>
      </c>
      <c r="H252" s="4"/>
      <c r="I252" s="9"/>
      <c r="J252" s="9"/>
      <c r="K252" s="9"/>
      <c r="L252" s="9"/>
      <c r="M252" s="9"/>
      <c r="N252" s="9"/>
    </row>
    <row r="253" spans="1:14">
      <c r="A253" s="12" t="str">
        <f>[238]Sheet1!$A$1</f>
        <v>岳阳轻型纸80克2号机889*1194平板</v>
      </c>
      <c r="B253" s="13"/>
      <c r="C253" s="13"/>
      <c r="D253" s="13"/>
      <c r="E253" s="13"/>
      <c r="F253" s="14"/>
      <c r="G253" s="4">
        <f>[238]Sheet1!$E$14</f>
        <v>6.2</v>
      </c>
      <c r="H253" s="4"/>
      <c r="I253" s="4"/>
      <c r="J253" s="9"/>
      <c r="K253" s="9"/>
      <c r="L253" s="9"/>
      <c r="M253" s="9"/>
      <c r="N253" s="9"/>
    </row>
    <row r="254" spans="1:14">
      <c r="A254" s="12" t="s">
        <v>106</v>
      </c>
      <c r="B254" s="13"/>
      <c r="C254" s="13"/>
      <c r="D254" s="13"/>
      <c r="E254" s="13"/>
      <c r="F254" s="14"/>
      <c r="G254" s="4">
        <f>[239]Sheet1!$H$40</f>
        <v>1.788</v>
      </c>
      <c r="H254" s="4"/>
      <c r="I254" s="9"/>
      <c r="J254" s="9"/>
      <c r="K254" s="9"/>
      <c r="L254" s="9"/>
      <c r="M254" s="9"/>
      <c r="N254" s="9"/>
    </row>
    <row r="255" spans="1:14">
      <c r="A255" s="12" t="s">
        <v>107</v>
      </c>
      <c r="B255" s="13"/>
      <c r="C255" s="13"/>
      <c r="D255" s="13"/>
      <c r="E255" s="13"/>
      <c r="F255" s="14"/>
      <c r="G255" s="4">
        <f>[240]Sheet1!$E$128</f>
        <v>37.5</v>
      </c>
      <c r="H255" s="4"/>
      <c r="I255" s="4"/>
      <c r="J255" s="9"/>
      <c r="K255" s="9"/>
      <c r="L255" s="9"/>
      <c r="M255" s="9"/>
      <c r="N255" s="9"/>
    </row>
    <row r="256" spans="1:14">
      <c r="A256" s="12" t="s">
        <v>108</v>
      </c>
      <c r="B256" s="13"/>
      <c r="C256" s="13"/>
      <c r="D256" s="13"/>
      <c r="E256" s="13"/>
      <c r="F256" s="14"/>
      <c r="G256" s="4">
        <f>[241]Sheet1!$H$20</f>
        <v>17.255</v>
      </c>
      <c r="H256" s="4"/>
      <c r="I256" s="9"/>
      <c r="J256" s="9"/>
      <c r="K256" s="9"/>
      <c r="L256" s="9"/>
      <c r="M256" s="9"/>
      <c r="N256" s="9"/>
    </row>
    <row r="257" spans="1:14">
      <c r="A257" s="12" t="s">
        <v>109</v>
      </c>
      <c r="B257" s="13"/>
      <c r="C257" s="13"/>
      <c r="D257" s="13"/>
      <c r="E257" s="13"/>
      <c r="F257" s="14"/>
      <c r="G257" s="4">
        <f>[242]Sheet1!$E$10</f>
        <v>15</v>
      </c>
      <c r="H257" s="4"/>
      <c r="I257" s="4"/>
      <c r="J257" s="9"/>
      <c r="K257" s="9"/>
      <c r="L257" s="9"/>
      <c r="M257" s="9"/>
      <c r="N257" s="9"/>
    </row>
    <row r="258" spans="1:14">
      <c r="A258" s="12" t="s">
        <v>110</v>
      </c>
      <c r="B258" s="13"/>
      <c r="C258" s="13"/>
      <c r="D258" s="13"/>
      <c r="E258" s="13"/>
      <c r="F258" s="14"/>
      <c r="G258" s="4">
        <f>[243]Sheet1!$H$47</f>
        <v>10.881</v>
      </c>
      <c r="H258" s="4"/>
      <c r="I258" s="9"/>
      <c r="J258" s="9"/>
      <c r="K258" s="9"/>
      <c r="L258" s="9"/>
      <c r="M258" s="9"/>
      <c r="N258" s="9"/>
    </row>
    <row r="259" spans="1:14">
      <c r="A259" s="12" t="str">
        <f>[244]Sheet1!$A$1</f>
        <v>岳阳轻型纸95克2号机889*1194</v>
      </c>
      <c r="B259" s="13"/>
      <c r="C259" s="13"/>
      <c r="D259" s="13"/>
      <c r="E259" s="13"/>
      <c r="F259" s="14"/>
      <c r="G259" s="4">
        <f>[244]Sheet1!$E$83</f>
        <v>72.5</v>
      </c>
      <c r="H259" s="4"/>
      <c r="I259" s="4"/>
      <c r="J259" s="9"/>
      <c r="K259" s="9"/>
      <c r="L259" s="9"/>
      <c r="M259" s="9"/>
      <c r="N259" s="9"/>
    </row>
    <row r="260" spans="1:14">
      <c r="A260" s="12" t="str">
        <f>[245]Sheet1!$A$1</f>
        <v>岳阳轻型纸（进口）B60克635卷筒</v>
      </c>
      <c r="B260" s="13"/>
      <c r="C260" s="13"/>
      <c r="D260" s="13"/>
      <c r="E260" s="13"/>
      <c r="F260" s="14"/>
      <c r="G260" s="4">
        <f>[245]Sheet1!$H$12</f>
        <v>15.65</v>
      </c>
      <c r="H260" s="4"/>
      <c r="I260" s="9"/>
      <c r="J260" s="9"/>
      <c r="K260" s="9"/>
      <c r="L260" s="9"/>
      <c r="M260" s="9"/>
      <c r="N260" s="9"/>
    </row>
    <row r="261" spans="1:14">
      <c r="A261" s="12" t="str">
        <f>[246]Sheet1!$A$1</f>
        <v>岳阳轻型纸（进口）B60克635*920平板</v>
      </c>
      <c r="B261" s="13"/>
      <c r="C261" s="13"/>
      <c r="D261" s="13"/>
      <c r="E261" s="13"/>
      <c r="F261" s="14"/>
      <c r="G261" s="4">
        <f>[246]Sheet1!$E$11</f>
        <v>11.2</v>
      </c>
      <c r="H261" s="4"/>
      <c r="I261" s="4"/>
      <c r="J261" s="9"/>
      <c r="K261" s="9"/>
      <c r="L261" s="9"/>
      <c r="M261" s="9"/>
      <c r="N261" s="9"/>
    </row>
    <row r="262" spans="1:14">
      <c r="A262" s="12" t="str">
        <f>[247]Sheet1!$A$1</f>
        <v>岳阳轻型纸70克（芬兰）790卷筒</v>
      </c>
      <c r="B262" s="13"/>
      <c r="C262" s="13"/>
      <c r="D262" s="13"/>
      <c r="E262" s="13"/>
      <c r="F262" s="14"/>
      <c r="G262" s="4">
        <f>[247]Sheet1!$H$4</f>
        <v>15.072</v>
      </c>
      <c r="H262" s="4"/>
      <c r="I262" s="9"/>
      <c r="J262" s="9"/>
      <c r="K262" s="9"/>
      <c r="L262" s="9"/>
      <c r="M262" s="9"/>
      <c r="N262" s="9"/>
    </row>
    <row r="263" spans="1:14">
      <c r="A263" s="12" t="str">
        <f>[248]Sheet1!$A$1</f>
        <v>岳阳轻型纸（芬兰）70克890卷筒</v>
      </c>
      <c r="B263" s="13"/>
      <c r="C263" s="13"/>
      <c r="D263" s="13"/>
      <c r="E263" s="13"/>
      <c r="F263" s="14"/>
      <c r="G263" s="4">
        <f>[248]Sheet1!$H$5</f>
        <v>12.366</v>
      </c>
      <c r="H263" s="4"/>
      <c r="I263" s="9"/>
      <c r="J263" s="9"/>
      <c r="K263" s="9"/>
      <c r="L263" s="9"/>
      <c r="M263" s="9"/>
      <c r="N263" s="9"/>
    </row>
    <row r="264" spans="1:14">
      <c r="A264" s="12" t="str">
        <f>[249]Sheet1!$A$1</f>
        <v>岳阳轻型纸（芬兰）70克890*1194平板</v>
      </c>
      <c r="B264" s="13"/>
      <c r="C264" s="13"/>
      <c r="D264" s="13"/>
      <c r="E264" s="13"/>
      <c r="F264" s="14"/>
      <c r="G264" s="4">
        <f>[249]Sheet1!$E$6</f>
        <v>16</v>
      </c>
      <c r="H264" s="4"/>
      <c r="I264" s="4"/>
      <c r="J264" s="9"/>
      <c r="K264" s="9"/>
      <c r="L264" s="9"/>
      <c r="M264" s="9"/>
      <c r="N264" s="9"/>
    </row>
    <row r="265" spans="1:14">
      <c r="A265" s="12" t="str">
        <f>[250]Sheet1!$A$1</f>
        <v>岳阳轻型纸（挪威）60克787卷筒</v>
      </c>
      <c r="B265" s="13"/>
      <c r="C265" s="13"/>
      <c r="D265" s="13"/>
      <c r="E265" s="13"/>
      <c r="F265" s="14"/>
      <c r="G265" s="4">
        <f>[250]Sheet1!$H$5</f>
        <v>1.036</v>
      </c>
      <c r="H265" s="4"/>
      <c r="I265" s="9"/>
      <c r="J265" s="9"/>
      <c r="K265" s="9"/>
      <c r="L265" s="9"/>
      <c r="M265" s="9"/>
      <c r="N265" s="9"/>
    </row>
    <row r="266" spans="1:14">
      <c r="A266" s="12" t="str">
        <f>[251]Sheet1!$A$1</f>
        <v>岳阳轻型纸（挪威）60克787*1092平板</v>
      </c>
      <c r="B266" s="13"/>
      <c r="C266" s="13"/>
      <c r="D266" s="13"/>
      <c r="E266" s="13"/>
      <c r="F266" s="14"/>
      <c r="G266" s="4">
        <f>[251]Sheet1!$E$5</f>
        <v>21.2</v>
      </c>
      <c r="H266" s="4"/>
      <c r="I266" s="4"/>
      <c r="J266" s="9"/>
      <c r="K266" s="9"/>
      <c r="L266" s="9"/>
      <c r="M266" s="9"/>
      <c r="N266" s="9"/>
    </row>
    <row r="267" spans="1:14">
      <c r="A267" s="12" t="str">
        <f>[252]Sheet1!$A$1</f>
        <v>岳阳轻型纸（挪威）70克787卷筒</v>
      </c>
      <c r="B267" s="13"/>
      <c r="C267" s="13"/>
      <c r="D267" s="13"/>
      <c r="E267" s="13"/>
      <c r="F267" s="14"/>
      <c r="G267" s="4">
        <f>[252]Sheet1!$H$4</f>
        <v>19.814</v>
      </c>
      <c r="H267" s="4"/>
      <c r="I267" s="9"/>
      <c r="J267" s="9"/>
      <c r="K267" s="9"/>
      <c r="L267" s="9"/>
      <c r="M267" s="9"/>
      <c r="N267" s="9"/>
    </row>
    <row r="268" spans="1:14">
      <c r="A268" s="12" t="str">
        <f>[253]Sheet1!$A$1</f>
        <v>岳阳轻型纸（挪威）80克787卷筒</v>
      </c>
      <c r="B268" s="13"/>
      <c r="C268" s="13"/>
      <c r="D268" s="13"/>
      <c r="E268" s="13"/>
      <c r="F268" s="14"/>
      <c r="G268" s="4">
        <f>[253]Sheet1!$H$4</f>
        <v>2.564</v>
      </c>
      <c r="H268" s="4"/>
      <c r="I268" s="9"/>
      <c r="J268" s="9"/>
      <c r="K268" s="9"/>
      <c r="L268" s="9"/>
      <c r="M268" s="9"/>
      <c r="N268" s="9"/>
    </row>
    <row r="269" spans="1:14">
      <c r="A269" s="12"/>
      <c r="B269" s="13"/>
      <c r="C269" s="13"/>
      <c r="D269" s="13"/>
      <c r="E269" s="13"/>
      <c r="F269" s="14"/>
      <c r="G269" s="4"/>
      <c r="H269" s="4"/>
      <c r="I269" s="4"/>
      <c r="J269" s="9"/>
      <c r="K269" s="9"/>
      <c r="L269" s="9"/>
      <c r="M269" s="9"/>
      <c r="N269" s="9"/>
    </row>
    <row r="270" spans="1:14">
      <c r="A270" s="12" t="str">
        <f>[254]Sheet1!$A$1</f>
        <v>岳阳全木浆双胶纸58克787*1092平板</v>
      </c>
      <c r="B270" s="13"/>
      <c r="C270" s="13"/>
      <c r="D270" s="13"/>
      <c r="E270" s="13"/>
      <c r="F270" s="14"/>
      <c r="G270" s="4">
        <f>[254]Sheet1!$E$9</f>
        <v>46</v>
      </c>
      <c r="H270" s="4"/>
      <c r="I270" s="4"/>
      <c r="J270" s="9"/>
      <c r="K270" s="9"/>
      <c r="L270" s="9"/>
      <c r="M270" s="9"/>
      <c r="N270" s="9"/>
    </row>
    <row r="271" spans="1:14">
      <c r="A271" s="12" t="str">
        <f>[255]Sheet1!$A$1</f>
        <v>岳阳全木浆双胶纸58克889*1194平板</v>
      </c>
      <c r="B271" s="13"/>
      <c r="C271" s="13"/>
      <c r="D271" s="13"/>
      <c r="E271" s="13"/>
      <c r="F271" s="14"/>
      <c r="G271" s="4">
        <f>[255]Sheet1!$E$9</f>
        <v>4.6</v>
      </c>
      <c r="H271" s="4"/>
      <c r="I271" s="4"/>
      <c r="J271" s="9"/>
      <c r="K271" s="9"/>
      <c r="L271" s="9"/>
      <c r="M271" s="9"/>
      <c r="N271" s="9"/>
    </row>
    <row r="272" spans="1:14">
      <c r="A272" s="12" t="str">
        <f>[256]Sheet1!$A$1</f>
        <v>岳阳全木浆双胶纸65克787*1092平板</v>
      </c>
      <c r="B272" s="13"/>
      <c r="C272" s="13"/>
      <c r="D272" s="13"/>
      <c r="E272" s="13"/>
      <c r="F272" s="14"/>
      <c r="G272" s="4">
        <f>[256]Sheet1!$E$6</f>
        <v>35.3</v>
      </c>
      <c r="H272" s="4"/>
      <c r="I272" s="4"/>
      <c r="J272" s="9"/>
      <c r="K272" s="9"/>
      <c r="L272" s="9"/>
      <c r="M272" s="9"/>
      <c r="N272" s="9"/>
    </row>
    <row r="273" spans="1:14">
      <c r="A273" s="12" t="str">
        <f>[257]Sheet1!$A$1</f>
        <v>岳阳全木浆双胶纸73克787卷筒</v>
      </c>
      <c r="B273" s="13"/>
      <c r="C273" s="13"/>
      <c r="D273" s="13"/>
      <c r="E273" s="13"/>
      <c r="F273" s="14"/>
      <c r="G273" s="4">
        <f>[257]Sheet1!$H$4</f>
        <v>1.623</v>
      </c>
      <c r="H273" s="4"/>
      <c r="I273" s="9"/>
      <c r="J273" s="9"/>
      <c r="K273" s="9"/>
      <c r="L273" s="9"/>
      <c r="M273" s="9"/>
      <c r="N273" s="9"/>
    </row>
    <row r="274" spans="1:14">
      <c r="A274" s="12" t="s">
        <v>111</v>
      </c>
      <c r="B274" s="13"/>
      <c r="C274" s="13"/>
      <c r="D274" s="13"/>
      <c r="E274" s="13"/>
      <c r="F274" s="14"/>
      <c r="G274" s="4">
        <f>[258]Sheet1!$E$18</f>
        <v>12</v>
      </c>
      <c r="H274" s="4"/>
      <c r="I274" s="4"/>
      <c r="J274" s="9"/>
      <c r="K274" s="9"/>
      <c r="L274" s="9"/>
      <c r="M274" s="9"/>
      <c r="N274" s="9"/>
    </row>
    <row r="275" spans="1:14">
      <c r="A275" s="12" t="str">
        <f>[259]Sheet1!$A$1</f>
        <v>岳阳全木浆双胶纸75克889*1194平板</v>
      </c>
      <c r="B275" s="13"/>
      <c r="C275" s="13"/>
      <c r="D275" s="13"/>
      <c r="E275" s="13"/>
      <c r="F275" s="14"/>
      <c r="G275" s="4">
        <f>[259]Sheet1!$E$18</f>
        <v>66.5</v>
      </c>
      <c r="H275" s="4"/>
      <c r="I275" s="4"/>
      <c r="J275" s="9"/>
      <c r="K275" s="9"/>
      <c r="L275" s="9"/>
      <c r="M275" s="9"/>
      <c r="N275" s="9"/>
    </row>
    <row r="276" spans="1:14">
      <c r="A276" s="12" t="str">
        <f>[260]Sheet1!$A$1</f>
        <v>岳阳全木浆双胶纸100克780*1092平板</v>
      </c>
      <c r="B276" s="13"/>
      <c r="C276" s="13"/>
      <c r="D276" s="13"/>
      <c r="E276" s="13"/>
      <c r="F276" s="14"/>
      <c r="G276" s="4">
        <f>[260]Sheet1!$E$19</f>
        <v>1171.3</v>
      </c>
      <c r="H276" s="4"/>
      <c r="I276" s="4"/>
      <c r="J276" s="9"/>
      <c r="K276" s="9"/>
      <c r="L276" s="9"/>
      <c r="M276" s="9"/>
      <c r="N276" s="9"/>
    </row>
    <row r="277" spans="1:14">
      <c r="A277" s="12"/>
      <c r="B277" s="13"/>
      <c r="C277" s="13"/>
      <c r="D277" s="13"/>
      <c r="E277" s="13"/>
      <c r="F277" s="14"/>
      <c r="G277" s="4"/>
      <c r="H277" s="4"/>
      <c r="I277" s="4"/>
      <c r="J277" s="9"/>
      <c r="K277" s="9"/>
      <c r="L277" s="9"/>
      <c r="M277" s="9"/>
      <c r="N277" s="9"/>
    </row>
    <row r="278" spans="1:14">
      <c r="A278" s="12" t="s">
        <v>112</v>
      </c>
      <c r="B278" s="13"/>
      <c r="C278" s="13"/>
      <c r="D278" s="13"/>
      <c r="E278" s="13"/>
      <c r="F278" s="14"/>
      <c r="G278" s="4">
        <f>[261]Sheet1!$E$5</f>
        <v>10.7</v>
      </c>
      <c r="H278" s="4"/>
      <c r="I278" s="4"/>
      <c r="J278" s="9"/>
      <c r="K278" s="9"/>
      <c r="L278" s="9"/>
      <c r="M278" s="9"/>
      <c r="N278" s="9"/>
    </row>
    <row r="279" spans="1:14">
      <c r="A279" s="12" t="s">
        <v>113</v>
      </c>
      <c r="B279" s="13"/>
      <c r="C279" s="13"/>
      <c r="D279" s="13"/>
      <c r="E279" s="13"/>
      <c r="F279" s="14"/>
      <c r="G279" s="4">
        <f>[262]Sheet1!$E$7</f>
        <v>24.5</v>
      </c>
      <c r="H279" s="4"/>
      <c r="I279" s="4"/>
      <c r="J279" s="9"/>
      <c r="K279" s="9"/>
      <c r="L279" s="9"/>
      <c r="M279" s="9"/>
      <c r="N279" s="9"/>
    </row>
    <row r="280" spans="1:14">
      <c r="A280" s="12" t="s">
        <v>114</v>
      </c>
      <c r="B280" s="13"/>
      <c r="C280" s="13"/>
      <c r="D280" s="13"/>
      <c r="E280" s="13"/>
      <c r="F280" s="14"/>
      <c r="G280" s="4">
        <f>[263]Sheet1!$E$5</f>
        <v>6</v>
      </c>
      <c r="H280" s="4"/>
      <c r="I280" s="4"/>
      <c r="J280" s="9"/>
      <c r="K280" s="9"/>
      <c r="L280" s="9"/>
      <c r="M280" s="9"/>
      <c r="N280" s="9"/>
    </row>
    <row r="281" spans="1:14">
      <c r="A281" s="12" t="s">
        <v>115</v>
      </c>
      <c r="B281" s="13"/>
      <c r="C281" s="13"/>
      <c r="D281" s="13"/>
      <c r="E281" s="13"/>
      <c r="F281" s="14"/>
      <c r="G281" s="4">
        <f>[264]Sheet1!$E$7</f>
        <v>146</v>
      </c>
      <c r="H281" s="4"/>
      <c r="I281" s="4"/>
      <c r="J281" s="9"/>
      <c r="K281" s="9"/>
      <c r="L281" s="9"/>
      <c r="M281" s="9"/>
      <c r="N281" s="9"/>
    </row>
    <row r="282" spans="1:14">
      <c r="A282" s="12" t="str">
        <f>[265]Sheet1!$A$1</f>
        <v>岳阳双胶纸118克800*1092平板</v>
      </c>
      <c r="B282" s="13"/>
      <c r="C282" s="13"/>
      <c r="D282" s="13"/>
      <c r="E282" s="13"/>
      <c r="F282" s="14"/>
      <c r="G282" s="4">
        <f>[265]Sheet1!$E$4</f>
        <v>11.4</v>
      </c>
      <c r="H282" s="4"/>
      <c r="I282" s="4"/>
      <c r="J282" s="9"/>
      <c r="K282" s="9"/>
      <c r="L282" s="9"/>
      <c r="M282" s="9"/>
      <c r="N282" s="9"/>
    </row>
    <row r="283" spans="1:14">
      <c r="A283" s="12" t="s">
        <v>116</v>
      </c>
      <c r="B283" s="13"/>
      <c r="C283" s="13"/>
      <c r="D283" s="13"/>
      <c r="E283" s="13"/>
      <c r="F283" s="14"/>
      <c r="G283" s="4">
        <f>[266]Sheet1!$H$5</f>
        <v>1.302</v>
      </c>
      <c r="H283" s="27"/>
      <c r="I283" s="9"/>
      <c r="J283" s="9"/>
      <c r="K283" s="9"/>
      <c r="L283" s="9"/>
      <c r="M283" s="9"/>
      <c r="N283" s="9"/>
    </row>
    <row r="284" spans="1:14">
      <c r="A284" s="12" t="str">
        <f>[267]Sheet1!$A$1</f>
        <v>岳阳双胶纸（通力）65克787卷筒</v>
      </c>
      <c r="B284" s="13"/>
      <c r="C284" s="13"/>
      <c r="D284" s="13"/>
      <c r="E284" s="13"/>
      <c r="F284" s="14"/>
      <c r="G284" s="4">
        <f>[267]Sheet1!$H$8</f>
        <v>24.377</v>
      </c>
      <c r="H284" s="27"/>
      <c r="I284" s="9"/>
      <c r="J284" s="9"/>
      <c r="K284" s="9"/>
      <c r="L284" s="9"/>
      <c r="M284" s="9"/>
      <c r="N284" s="9"/>
    </row>
    <row r="285" spans="1:14">
      <c r="A285" s="12" t="str">
        <f>[268]Sheet1!$A$1</f>
        <v>岳阳双胶纸（通力）65克787*1092平板</v>
      </c>
      <c r="B285" s="13"/>
      <c r="C285" s="13"/>
      <c r="D285" s="13"/>
      <c r="E285" s="13"/>
      <c r="F285" s="14"/>
      <c r="G285" s="4">
        <f>[268]Sheet1!$E$6</f>
        <v>19</v>
      </c>
      <c r="H285" s="4"/>
      <c r="I285" s="4"/>
      <c r="J285" s="9"/>
      <c r="K285" s="9"/>
      <c r="L285" s="9"/>
      <c r="M285" s="9"/>
      <c r="N285" s="9"/>
    </row>
    <row r="286" spans="1:14">
      <c r="A286" s="12" t="str">
        <f>[269]Sheet1!$A$1</f>
        <v>岳阳双胶纸（通力）65克889卷筒--复卷</v>
      </c>
      <c r="B286" s="13"/>
      <c r="C286" s="13"/>
      <c r="D286" s="13"/>
      <c r="E286" s="13"/>
      <c r="F286" s="14"/>
      <c r="G286" s="4">
        <f>[269]Sheet1!$H$8</f>
        <v>11.672</v>
      </c>
      <c r="H286" s="4"/>
      <c r="I286" s="9"/>
      <c r="J286" s="9"/>
      <c r="K286" s="9"/>
      <c r="L286" s="9"/>
      <c r="M286" s="9"/>
      <c r="N286" s="9"/>
    </row>
    <row r="287" spans="1:14">
      <c r="A287" s="12" t="str">
        <f>[270]Sheet1!$A$1</f>
        <v>岳阳双胶纸（通力）65克889卷筒</v>
      </c>
      <c r="B287" s="13"/>
      <c r="C287" s="13"/>
      <c r="D287" s="13"/>
      <c r="E287" s="13"/>
      <c r="F287" s="14"/>
      <c r="G287" s="4">
        <f>[270]Sheet1!$H$6</f>
        <v>29.021</v>
      </c>
      <c r="H287" s="4"/>
      <c r="I287" s="9"/>
      <c r="J287" s="9"/>
      <c r="K287" s="9"/>
      <c r="L287" s="9"/>
      <c r="M287" s="9"/>
      <c r="N287" s="9"/>
    </row>
    <row r="288" spans="1:14">
      <c r="A288" s="12" t="str">
        <f>[271]Sheet1!$A$1</f>
        <v>岳阳双胶纸（通力）65克889*1194平板</v>
      </c>
      <c r="B288" s="13"/>
      <c r="C288" s="13"/>
      <c r="D288" s="13"/>
      <c r="E288" s="13"/>
      <c r="F288" s="14"/>
      <c r="G288" s="4">
        <f>[271]Sheet1!$E$5</f>
        <v>69</v>
      </c>
      <c r="H288" s="4"/>
      <c r="I288" s="4"/>
      <c r="J288" s="9"/>
      <c r="K288" s="9"/>
      <c r="L288" s="9"/>
      <c r="M288" s="9"/>
      <c r="N288" s="9"/>
    </row>
    <row r="289" spans="1:14">
      <c r="A289" s="12" t="str">
        <f>[272]Sheet1!$A$1</f>
        <v>岳阳双胶纸（通力）75克889卷筒</v>
      </c>
      <c r="B289" s="13"/>
      <c r="C289" s="13"/>
      <c r="D289" s="13"/>
      <c r="E289" s="13"/>
      <c r="F289" s="14"/>
      <c r="G289" s="4">
        <f>[272]Sheet1!$H$12</f>
        <v>20.826</v>
      </c>
      <c r="H289" s="4"/>
      <c r="I289" s="9"/>
      <c r="J289" s="9"/>
      <c r="K289" s="9"/>
      <c r="L289" s="9"/>
      <c r="M289" s="9"/>
      <c r="N289" s="9"/>
    </row>
    <row r="290" spans="1:14">
      <c r="A290" s="12" t="str">
        <f>[273]Sheet1!$A$1</f>
        <v>岳阳双胶纸（通力）75克889*1194平板</v>
      </c>
      <c r="B290" s="13"/>
      <c r="C290" s="13"/>
      <c r="D290" s="13"/>
      <c r="E290" s="13"/>
      <c r="F290" s="14"/>
      <c r="G290" s="4">
        <f>[273]Sheet1!$E$20</f>
        <v>63.6</v>
      </c>
      <c r="H290" s="27"/>
      <c r="J290" s="9"/>
      <c r="K290" s="9"/>
      <c r="L290" s="9"/>
      <c r="M290" s="9"/>
      <c r="N290" s="9"/>
    </row>
    <row r="291" spans="1:14">
      <c r="A291" s="12" t="s">
        <v>117</v>
      </c>
      <c r="B291" s="13"/>
      <c r="C291" s="13"/>
      <c r="D291" s="13"/>
      <c r="E291" s="13"/>
      <c r="F291" s="14"/>
      <c r="G291" s="4">
        <f>[274]Sheet1!$E$4</f>
        <v>24.5</v>
      </c>
      <c r="H291" s="4"/>
      <c r="I291" s="4"/>
      <c r="J291" s="9"/>
      <c r="K291" s="9"/>
      <c r="L291" s="9"/>
      <c r="M291" s="9"/>
      <c r="N291" s="9"/>
    </row>
    <row r="292" spans="1:14">
      <c r="A292" s="12" t="str">
        <f>[275]Sheet1!$A$1</f>
        <v>岳阳涂布纯质纸80克787卷筒</v>
      </c>
      <c r="B292" s="13"/>
      <c r="C292" s="13"/>
      <c r="D292" s="13"/>
      <c r="E292" s="13"/>
      <c r="F292" s="14"/>
      <c r="G292" s="4">
        <f>[275]Sheet1!$H$5</f>
        <v>4.581</v>
      </c>
      <c r="H292" s="4"/>
      <c r="I292" s="9"/>
      <c r="J292" s="9"/>
      <c r="K292" s="9"/>
      <c r="L292" s="9"/>
      <c r="M292" s="9"/>
      <c r="N292" s="9"/>
    </row>
    <row r="293" spans="1:14">
      <c r="A293" s="12" t="s">
        <v>118</v>
      </c>
      <c r="B293" s="13"/>
      <c r="C293" s="13"/>
      <c r="D293" s="13"/>
      <c r="E293" s="13"/>
      <c r="F293" s="14"/>
      <c r="G293" s="4">
        <f>[276]Sheet1!$H$6</f>
        <v>1.972</v>
      </c>
      <c r="H293" s="4"/>
      <c r="I293" s="9"/>
      <c r="J293" s="9"/>
      <c r="K293" s="9"/>
      <c r="L293" s="9"/>
      <c r="M293" s="9"/>
      <c r="N293" s="9"/>
    </row>
    <row r="294" spans="1:14">
      <c r="A294" s="12" t="str">
        <f>[277]Sheet1!$A$1</f>
        <v>岳阳涂布纯质纸80克889*1194平板</v>
      </c>
      <c r="B294" s="13"/>
      <c r="C294" s="13"/>
      <c r="D294" s="13"/>
      <c r="E294" s="13"/>
      <c r="F294" s="14"/>
      <c r="G294" s="4">
        <f>[277]Sheet1!$E$6</f>
        <v>11.6</v>
      </c>
      <c r="H294" s="4"/>
      <c r="I294" s="4"/>
      <c r="J294" s="9"/>
      <c r="K294" s="9"/>
      <c r="L294" s="9"/>
      <c r="M294" s="9"/>
      <c r="N294" s="9"/>
    </row>
    <row r="295" spans="1:14">
      <c r="A295" s="12" t="s">
        <v>119</v>
      </c>
      <c r="B295" s="13"/>
      <c r="C295" s="13"/>
      <c r="D295" s="13"/>
      <c r="E295" s="13"/>
      <c r="F295" s="14"/>
      <c r="G295" s="4">
        <f>[278]Sheet1!$E$20</f>
        <v>77.9</v>
      </c>
      <c r="H295" s="4"/>
      <c r="I295" s="4"/>
      <c r="J295" s="9"/>
      <c r="K295" s="9"/>
      <c r="L295" s="9"/>
      <c r="M295" s="9"/>
      <c r="N295" s="9"/>
    </row>
    <row r="296" spans="1:14">
      <c r="A296" s="12" t="s">
        <v>120</v>
      </c>
      <c r="B296" s="13"/>
      <c r="C296" s="13"/>
      <c r="D296" s="13"/>
      <c r="E296" s="13"/>
      <c r="F296" s="14"/>
      <c r="G296" s="4">
        <f>[279]Sheet1!$E$5</f>
        <v>30</v>
      </c>
      <c r="H296" s="4"/>
      <c r="I296" s="4"/>
      <c r="J296" s="9"/>
      <c r="K296" s="9"/>
      <c r="L296" s="9"/>
      <c r="M296" s="9"/>
      <c r="N296" s="9"/>
    </row>
    <row r="297" spans="1:14">
      <c r="A297" s="12" t="str">
        <f>[280]Sheet1!$A$1</f>
        <v>沅江57克本白纸770*1092平板</v>
      </c>
      <c r="B297" s="13"/>
      <c r="C297" s="13"/>
      <c r="D297" s="13"/>
      <c r="E297" s="13"/>
      <c r="F297" s="14"/>
      <c r="G297" s="4">
        <f>[280]Sheet1!$E$5</f>
        <v>13.5</v>
      </c>
      <c r="H297" s="4"/>
      <c r="I297" s="4"/>
      <c r="J297" s="9"/>
      <c r="K297" s="9"/>
      <c r="L297" s="9"/>
      <c r="M297" s="9"/>
      <c r="N297" s="9"/>
    </row>
    <row r="298" spans="8:14">
      <c r="H298" s="9"/>
      <c r="I298" s="9"/>
      <c r="J298" s="9"/>
      <c r="K298" s="9"/>
      <c r="L298" s="9"/>
      <c r="M298" s="9"/>
      <c r="N298" s="9"/>
    </row>
    <row r="299" spans="8:14">
      <c r="H299" s="9"/>
      <c r="I299" s="9"/>
      <c r="J299" s="9"/>
      <c r="K299" s="9"/>
      <c r="L299" s="9"/>
      <c r="M299" s="9"/>
      <c r="N299" s="9"/>
    </row>
    <row r="300" spans="8:14">
      <c r="H300" s="9"/>
      <c r="I300" s="9"/>
      <c r="J300" s="9"/>
      <c r="K300" s="9"/>
      <c r="L300" s="9"/>
      <c r="M300" s="9"/>
      <c r="N300" s="9"/>
    </row>
    <row r="301" spans="8:14">
      <c r="H301" s="9"/>
      <c r="I301" s="9"/>
      <c r="J301" s="9"/>
      <c r="K301" s="9"/>
      <c r="L301" s="9"/>
      <c r="M301" s="9"/>
      <c r="N301" s="9"/>
    </row>
    <row r="302" spans="8:14">
      <c r="H302" s="9"/>
      <c r="I302" s="9"/>
      <c r="J302" s="9"/>
      <c r="K302" s="9"/>
      <c r="L302" s="9"/>
      <c r="M302" s="9"/>
      <c r="N302" s="9"/>
    </row>
    <row r="303" spans="8:14">
      <c r="H303" s="9"/>
      <c r="I303" s="9"/>
      <c r="J303" s="9"/>
      <c r="K303" s="9"/>
      <c r="L303" s="9"/>
      <c r="M303" s="9"/>
      <c r="N303" s="9"/>
    </row>
    <row r="304" spans="8:14">
      <c r="H304" s="9"/>
      <c r="I304" s="9"/>
      <c r="J304" s="9"/>
      <c r="K304" s="9"/>
      <c r="L304" s="9"/>
      <c r="M304" s="9"/>
      <c r="N304" s="9"/>
    </row>
    <row r="305" spans="10:14">
      <c r="J305" s="9"/>
      <c r="K305" s="9"/>
      <c r="L305" s="9"/>
      <c r="M305" s="9"/>
      <c r="N305" s="9"/>
    </row>
    <row r="306" spans="10:14">
      <c r="J306" s="9"/>
      <c r="K306" s="9"/>
      <c r="L306" s="9"/>
      <c r="M306" s="9"/>
      <c r="N306" s="9"/>
    </row>
    <row r="307" spans="10:14">
      <c r="J307" s="9"/>
      <c r="K307" s="9"/>
      <c r="L307" s="9"/>
      <c r="M307" s="9"/>
      <c r="N307" s="9"/>
    </row>
    <row r="308" spans="10:14">
      <c r="J308" s="9"/>
      <c r="K308" s="9"/>
      <c r="L308" s="9"/>
      <c r="M308" s="9"/>
      <c r="N308" s="9"/>
    </row>
    <row r="309" spans="10:14">
      <c r="J309" s="9"/>
      <c r="K309" s="9"/>
      <c r="L309" s="9"/>
      <c r="M309" s="9"/>
      <c r="N309" s="9"/>
    </row>
    <row r="310" spans="10:14">
      <c r="J310" s="9"/>
      <c r="K310" s="9"/>
      <c r="L310" s="9"/>
      <c r="M310" s="9"/>
      <c r="N310" s="9"/>
    </row>
    <row r="311" spans="10:14">
      <c r="J311" s="9"/>
      <c r="K311" s="9"/>
      <c r="L311" s="9"/>
      <c r="M311" s="9"/>
      <c r="N311" s="9"/>
    </row>
    <row r="312" spans="10:14">
      <c r="J312" s="9"/>
      <c r="K312" s="9"/>
      <c r="L312" s="9"/>
      <c r="M312" s="9"/>
      <c r="N312" s="9"/>
    </row>
    <row r="313" spans="10:14">
      <c r="J313" s="9"/>
      <c r="K313" s="9"/>
      <c r="L313" s="9"/>
      <c r="M313" s="9"/>
      <c r="N313" s="9"/>
    </row>
    <row r="314" spans="10:14">
      <c r="J314" s="9"/>
      <c r="K314" s="9"/>
      <c r="L314" s="9"/>
      <c r="M314" s="9"/>
      <c r="N314" s="9"/>
    </row>
    <row r="315" spans="10:14">
      <c r="J315" s="9"/>
      <c r="K315" s="9"/>
      <c r="L315" s="9"/>
      <c r="M315" s="9"/>
      <c r="N315" s="9"/>
    </row>
    <row r="316" spans="10:14">
      <c r="J316" s="9"/>
      <c r="K316" s="9"/>
      <c r="L316" s="9"/>
      <c r="M316" s="9"/>
      <c r="N316" s="9"/>
    </row>
    <row r="317" spans="10:14">
      <c r="J317" s="9"/>
      <c r="K317" s="9"/>
      <c r="L317" s="9"/>
      <c r="M317" s="9"/>
      <c r="N317" s="9"/>
    </row>
  </sheetData>
  <mergeCells count="282">
    <mergeCell ref="A3:F3"/>
    <mergeCell ref="A4:F4"/>
    <mergeCell ref="A5:F5"/>
    <mergeCell ref="A6:F6"/>
    <mergeCell ref="A7:F7"/>
    <mergeCell ref="A8:F8"/>
    <mergeCell ref="A9:F9"/>
    <mergeCell ref="A10:F10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3:F53"/>
    <mergeCell ref="A54:F54"/>
    <mergeCell ref="A55:F55"/>
    <mergeCell ref="A56:F56"/>
    <mergeCell ref="A58:F58"/>
    <mergeCell ref="A59:F59"/>
    <mergeCell ref="A60:F60"/>
    <mergeCell ref="A61:F61"/>
    <mergeCell ref="A62:F62"/>
    <mergeCell ref="A63:F63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1:F111"/>
    <mergeCell ref="A112:F112"/>
    <mergeCell ref="A113:F113"/>
    <mergeCell ref="A114:F114"/>
    <mergeCell ref="A115:F115"/>
    <mergeCell ref="A116:F116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70:F270"/>
    <mergeCell ref="A271:F271"/>
    <mergeCell ref="A272:F272"/>
    <mergeCell ref="A273:F273"/>
    <mergeCell ref="A274:F274"/>
    <mergeCell ref="A275:F275"/>
    <mergeCell ref="A276:F276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1:I2"/>
  </mergeCells>
  <printOptions horizontalCentered="1"/>
  <pageMargins left="0.511805555555556" right="0.306944444444444" top="0.357638888888889" bottom="0.19652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H16" sqref="H16"/>
    </sheetView>
  </sheetViews>
  <sheetFormatPr defaultColWidth="9" defaultRowHeight="13.5" outlineLevelRow="5" outlineLevelCol="7"/>
  <sheetData>
    <row r="1" ht="33" customHeight="1"/>
    <row r="2" ht="25.5" customHeight="1" spans="1:8">
      <c r="A2" s="1" t="s">
        <v>1</v>
      </c>
      <c r="B2" s="2"/>
      <c r="C2" s="2"/>
      <c r="D2" s="2"/>
      <c r="E2" s="2"/>
      <c r="F2" s="3"/>
      <c r="G2" s="3" t="s">
        <v>2</v>
      </c>
      <c r="H2" s="4" t="s">
        <v>3</v>
      </c>
    </row>
    <row r="3" spans="1:8">
      <c r="A3" s="1" t="s">
        <v>5</v>
      </c>
      <c r="B3" s="2"/>
      <c r="C3" s="2"/>
      <c r="D3" s="2"/>
      <c r="E3" s="2"/>
      <c r="F3" s="3"/>
      <c r="G3" s="5">
        <f>[1]Sheet1!$H$9</f>
        <v>0.269</v>
      </c>
      <c r="H3" s="6"/>
    </row>
    <row r="4" spans="1:8">
      <c r="A4" s="1" t="s">
        <v>6</v>
      </c>
      <c r="B4" s="2"/>
      <c r="C4" s="2"/>
      <c r="D4" s="2"/>
      <c r="E4" s="2"/>
      <c r="F4" s="3"/>
      <c r="G4" s="5">
        <f>[2]Sheet1!$H$8</f>
        <v>2.37</v>
      </c>
      <c r="H4" s="6"/>
    </row>
    <row r="5" spans="1:8">
      <c r="A5" s="1" t="s">
        <v>8</v>
      </c>
      <c r="B5" s="2"/>
      <c r="C5" s="2"/>
      <c r="D5" s="2"/>
      <c r="E5" s="2"/>
      <c r="F5" s="3"/>
      <c r="G5" s="5">
        <f>[4]Sheet1!$H$24</f>
        <v>12.029</v>
      </c>
      <c r="H5" s="6"/>
    </row>
    <row r="6" ht="14.25" spans="1:8">
      <c r="A6" s="1" t="s">
        <v>11</v>
      </c>
      <c r="B6" s="2"/>
      <c r="C6" s="2"/>
      <c r="D6" s="2"/>
      <c r="E6" s="2"/>
      <c r="F6" s="3"/>
      <c r="G6" s="7">
        <f>[7]Sheet1!$H$8</f>
        <v>10.883</v>
      </c>
      <c r="H6" s="6"/>
    </row>
  </sheetData>
  <mergeCells count="5">
    <mergeCell ref="A2:F2"/>
    <mergeCell ref="A3:F3"/>
    <mergeCell ref="A4:F4"/>
    <mergeCell ref="A5:F5"/>
    <mergeCell ref="A6:F6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2019-01-02T02:04:00Z</dcterms:created>
  <cp:lastPrinted>2019-01-02T05:36:00Z</cp:lastPrinted>
  <dcterms:modified xsi:type="dcterms:W3CDTF">2020-03-03T02:48:46Z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